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5"/>
  <workbookPr/>
  <mc:AlternateContent xmlns:mc="http://schemas.openxmlformats.org/markup-compatibility/2006">
    <mc:Choice Requires="x15">
      <x15ac:absPath xmlns:x15ac="http://schemas.microsoft.com/office/spreadsheetml/2010/11/ac" url="C:\Users\Sergio Ponce\Downloads\"/>
    </mc:Choice>
  </mc:AlternateContent>
  <xr:revisionPtr revIDLastSave="0" documentId="8_{C3251D02-64FB-4797-84E7-703248ECC9D0}" xr6:coauthVersionLast="47" xr6:coauthVersionMax="47" xr10:uidLastSave="{00000000-0000-0000-0000-000000000000}"/>
  <bookViews>
    <workbookView xWindow="5115" yWindow="690" windowWidth="15375" windowHeight="7875" firstSheet="9" activeTab="9" xr2:uid="{8D4643CD-38CA-4922-8F25-098D48E5AB3F}"/>
  </bookViews>
  <sheets>
    <sheet name="Tiempo original" sheetId="1" r:id="rId1"/>
    <sheet name="Conversion a minutos " sheetId="5" r:id="rId2"/>
    <sheet name="Puño y Cuello (balanceo) " sheetId="9" r:id="rId3"/>
    <sheet name="Mangas (balanceo)" sheetId="7" r:id="rId4"/>
    <sheet name="Frentes (balanceo)" sheetId="13" r:id="rId5"/>
    <sheet name="Espalda (Balanceo)" sheetId="10" r:id="rId6"/>
    <sheet name="Ensamble 1(Balanceo)" sheetId="11" r:id="rId7"/>
    <sheet name="Ensamble 2 (Balanceo)" sheetId="12" r:id="rId8"/>
    <sheet name="Trazabilidad" sheetId="6" r:id="rId9"/>
    <sheet name="Movimiento del Asistente" sheetId="14" r:id="rId10"/>
    <sheet name="Hoja2" sheetId="2" r:id="rId11"/>
  </sheets>
  <definedNames>
    <definedName name="solver_eng" localSheetId="8" hidden="1">1</definedName>
    <definedName name="solver_neg" localSheetId="8" hidden="1">1</definedName>
    <definedName name="solver_num" localSheetId="8" hidden="1">0</definedName>
    <definedName name="solver_opt" localSheetId="8" hidden="1">Trazabilidad!$D$34</definedName>
    <definedName name="solver_typ" localSheetId="8" hidden="1">1</definedName>
    <definedName name="solver_val" localSheetId="8" hidden="1">0</definedName>
    <definedName name="solver_ver" localSheetId="8" hidden="1">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9" l="1"/>
  <c r="G40" i="9"/>
  <c r="C38" i="9"/>
  <c r="C34" i="9"/>
  <c r="C23" i="9"/>
  <c r="I9" i="9"/>
  <c r="C15" i="9"/>
  <c r="C16" i="9"/>
  <c r="C17" i="9" s="1"/>
  <c r="F7" i="9"/>
  <c r="I21" i="12"/>
  <c r="H21" i="12"/>
  <c r="I25" i="13"/>
  <c r="I24" i="13"/>
  <c r="F25" i="13"/>
  <c r="F26" i="13"/>
  <c r="F27" i="13"/>
  <c r="F28" i="13"/>
  <c r="F24" i="13"/>
  <c r="M16" i="13"/>
  <c r="N16" i="13"/>
  <c r="M17" i="13"/>
  <c r="N17" i="13"/>
  <c r="M18" i="13"/>
  <c r="N18" i="13"/>
  <c r="M15" i="13"/>
  <c r="N15" i="13"/>
  <c r="M13" i="13"/>
  <c r="N13" i="13"/>
  <c r="M12" i="13"/>
  <c r="N12" i="13"/>
  <c r="H24" i="13"/>
  <c r="H25" i="13"/>
  <c r="H26" i="13"/>
  <c r="H27" i="13"/>
  <c r="H28" i="13"/>
  <c r="E24" i="13"/>
  <c r="D24" i="13"/>
  <c r="C24" i="13"/>
  <c r="J35" i="13"/>
  <c r="K35" i="13"/>
  <c r="J34" i="13"/>
  <c r="K34" i="13"/>
  <c r="J33" i="13"/>
  <c r="K33" i="13"/>
  <c r="J32" i="13"/>
  <c r="K32" i="13"/>
  <c r="J31" i="13"/>
  <c r="K31" i="13"/>
  <c r="J30" i="13"/>
  <c r="K30" i="13"/>
  <c r="J29" i="13"/>
  <c r="K29" i="13"/>
  <c r="I31" i="13"/>
  <c r="H31" i="13"/>
  <c r="G31" i="13"/>
  <c r="G30" i="13"/>
  <c r="D30" i="13"/>
  <c r="D32" i="13" s="1"/>
  <c r="D33" i="13" s="1"/>
  <c r="D34" i="13" s="1"/>
  <c r="C30" i="13"/>
  <c r="H29" i="13"/>
  <c r="H30" i="13" s="1"/>
  <c r="H32" i="13" s="1"/>
  <c r="H33" i="13" s="1"/>
  <c r="H34" i="13" s="1"/>
  <c r="G29" i="13"/>
  <c r="D29" i="13"/>
  <c r="C29" i="13"/>
  <c r="K25" i="13"/>
  <c r="K26" i="13"/>
  <c r="K27" i="13"/>
  <c r="K28" i="13"/>
  <c r="K24" i="13"/>
  <c r="J25" i="13"/>
  <c r="J26" i="13"/>
  <c r="J27" i="13"/>
  <c r="J28" i="13"/>
  <c r="J24" i="13"/>
  <c r="I26" i="13"/>
  <c r="I27" i="13"/>
  <c r="I28" i="13"/>
  <c r="G25" i="13"/>
  <c r="G26" i="13"/>
  <c r="G27" i="13"/>
  <c r="G28" i="13"/>
  <c r="G24" i="13"/>
  <c r="E28" i="13"/>
  <c r="E25" i="13"/>
  <c r="E26" i="13"/>
  <c r="E27" i="13"/>
  <c r="D25" i="13"/>
  <c r="D26" i="13"/>
  <c r="D27" i="13"/>
  <c r="D28" i="13"/>
  <c r="C25" i="13"/>
  <c r="C26" i="13"/>
  <c r="C27" i="13"/>
  <c r="C28" i="13"/>
  <c r="E16" i="7"/>
  <c r="E18" i="7"/>
  <c r="E17" i="7"/>
  <c r="F18" i="7"/>
  <c r="G18" i="7"/>
  <c r="H18" i="7"/>
  <c r="F17" i="7"/>
  <c r="G17" i="7"/>
  <c r="H17" i="7"/>
  <c r="D18" i="7"/>
  <c r="C18" i="7"/>
  <c r="D17" i="7"/>
  <c r="C17" i="7"/>
  <c r="L18" i="9"/>
  <c r="M18" i="9"/>
  <c r="N18" i="9"/>
  <c r="O18" i="9"/>
  <c r="P18" i="9"/>
  <c r="L17" i="9"/>
  <c r="M17" i="9"/>
  <c r="N17" i="9"/>
  <c r="O17" i="9"/>
  <c r="P17" i="9"/>
  <c r="K18" i="9"/>
  <c r="J18" i="9"/>
  <c r="I18" i="9"/>
  <c r="H18" i="9"/>
  <c r="G18" i="9"/>
  <c r="F18" i="9"/>
  <c r="E18" i="9"/>
  <c r="D18" i="9"/>
  <c r="C18" i="9"/>
  <c r="K17" i="9"/>
  <c r="J17" i="9"/>
  <c r="I17" i="9"/>
  <c r="H17" i="9"/>
  <c r="G17" i="9"/>
  <c r="F17" i="9"/>
  <c r="E17" i="9"/>
  <c r="D17" i="9"/>
  <c r="C33" i="9"/>
  <c r="C31" i="9"/>
  <c r="C32" i="9"/>
  <c r="E29" i="13" l="1"/>
  <c r="E30" i="13" s="1"/>
  <c r="I29" i="13"/>
  <c r="I30" i="13" s="1"/>
  <c r="F29" i="13"/>
  <c r="F30" i="13" s="1"/>
  <c r="E31" i="13"/>
  <c r="E32" i="13"/>
  <c r="E33" i="13" s="1"/>
  <c r="E34" i="13" s="1"/>
  <c r="I32" i="13"/>
  <c r="I33" i="13" s="1"/>
  <c r="I34" i="13" s="1"/>
  <c r="F32" i="13"/>
  <c r="F33" i="13"/>
  <c r="F34" i="13" s="1"/>
  <c r="F31" i="13"/>
  <c r="G32" i="13"/>
  <c r="G33" i="13" s="1"/>
  <c r="G34" i="13" s="1"/>
  <c r="C32" i="13"/>
  <c r="C33" i="13" s="1"/>
  <c r="C34" i="13" l="1"/>
  <c r="H35" i="13"/>
  <c r="G35" i="13"/>
  <c r="D35" i="13"/>
  <c r="E35" i="13"/>
  <c r="I35" i="13"/>
  <c r="F35" i="13"/>
  <c r="C35" i="13"/>
  <c r="H14" i="9" l="1"/>
  <c r="J7" i="11"/>
  <c r="K23" i="9"/>
  <c r="E33" i="9"/>
  <c r="D33" i="9"/>
  <c r="R7" i="13" l="1"/>
  <c r="E40" i="9"/>
  <c r="E38" i="12" l="1"/>
  <c r="C36" i="12"/>
  <c r="F32" i="11"/>
  <c r="E38" i="11"/>
  <c r="G38" i="11" s="1"/>
  <c r="G36" i="11" s="1"/>
  <c r="C36" i="11"/>
  <c r="G32" i="11" s="1"/>
  <c r="K32" i="11"/>
  <c r="D17" i="10"/>
  <c r="E17" i="10"/>
  <c r="F17" i="10"/>
  <c r="C17" i="10"/>
  <c r="E23" i="10"/>
  <c r="G23" i="10" s="1"/>
  <c r="G21" i="10" s="1"/>
  <c r="C21" i="10"/>
  <c r="D18" i="13"/>
  <c r="E40" i="7"/>
  <c r="G40" i="7" s="1"/>
  <c r="G38" i="7" s="1"/>
  <c r="E38" i="7"/>
  <c r="C38" i="7"/>
  <c r="D34" i="7" s="1"/>
  <c r="E34" i="7"/>
  <c r="C29" i="9"/>
  <c r="D34" i="9"/>
  <c r="E34" i="9"/>
  <c r="F34" i="9"/>
  <c r="G34" i="9"/>
  <c r="R4" i="5"/>
  <c r="P4" i="5"/>
  <c r="N4" i="5"/>
  <c r="R6" i="5"/>
  <c r="P6" i="5"/>
  <c r="H46" i="5"/>
  <c r="K7" i="9"/>
  <c r="G29" i="9"/>
  <c r="G23" i="9"/>
  <c r="I14" i="9"/>
  <c r="I15" i="9"/>
  <c r="I11" i="9"/>
  <c r="I7" i="9"/>
  <c r="G7" i="9"/>
  <c r="G16" i="9"/>
  <c r="G14" i="9"/>
  <c r="G13" i="9"/>
  <c r="G10" i="9"/>
  <c r="G11" i="9"/>
  <c r="I10" i="9"/>
  <c r="I8" i="9"/>
  <c r="G8" i="9"/>
  <c r="F14" i="9"/>
  <c r="F15" i="9"/>
  <c r="F13" i="9"/>
  <c r="E14" i="9"/>
  <c r="D14" i="9"/>
  <c r="C14" i="9"/>
  <c r="C7" i="9"/>
  <c r="K18" i="13" l="1"/>
  <c r="G18" i="13"/>
  <c r="J18" i="13"/>
  <c r="C18" i="13"/>
  <c r="I18" i="13"/>
  <c r="E18" i="13"/>
  <c r="F18" i="13"/>
  <c r="H18" i="13"/>
  <c r="E32" i="11"/>
  <c r="D32" i="11"/>
  <c r="I32" i="11"/>
  <c r="C32" i="11"/>
  <c r="H32" i="11"/>
  <c r="J32" i="11"/>
  <c r="C34" i="7"/>
  <c r="K34" i="9"/>
  <c r="J34" i="9"/>
  <c r="H34" i="9"/>
  <c r="E38" i="9"/>
  <c r="I34" i="9"/>
  <c r="G38" i="12"/>
  <c r="G36" i="12" s="1"/>
  <c r="E36" i="12"/>
  <c r="E36" i="11"/>
  <c r="E21" i="10"/>
  <c r="D9" i="9" l="1"/>
  <c r="D7" i="9"/>
  <c r="K11" i="9"/>
  <c r="K10" i="9"/>
  <c r="K9" i="9"/>
  <c r="K8" i="9"/>
  <c r="J11" i="9"/>
  <c r="J10" i="9"/>
  <c r="J9" i="9"/>
  <c r="J8" i="9"/>
  <c r="J7" i="9"/>
  <c r="P10" i="9"/>
  <c r="P11" i="9"/>
  <c r="P9" i="9"/>
  <c r="P8" i="9"/>
  <c r="P7" i="9"/>
  <c r="O11" i="9"/>
  <c r="O10" i="9"/>
  <c r="O9" i="9"/>
  <c r="O8" i="9"/>
  <c r="O7" i="9"/>
  <c r="N7" i="9"/>
  <c r="M11" i="9"/>
  <c r="M10" i="9"/>
  <c r="K26" i="9" s="1"/>
  <c r="M9" i="9"/>
  <c r="M8" i="9"/>
  <c r="K24" i="9" s="1"/>
  <c r="M7" i="9"/>
  <c r="N2" i="9"/>
  <c r="N8" i="9" s="1"/>
  <c r="K27" i="9" l="1"/>
  <c r="P12" i="9"/>
  <c r="P13" i="9" s="1"/>
  <c r="P15" i="9" s="1"/>
  <c r="P16" i="9" s="1"/>
  <c r="K25" i="9"/>
  <c r="N11" i="9"/>
  <c r="N10" i="9"/>
  <c r="N9" i="9"/>
  <c r="G25" i="9"/>
  <c r="H28" i="11" l="1"/>
  <c r="D17" i="13"/>
  <c r="E17" i="13"/>
  <c r="F17" i="13"/>
  <c r="G17" i="13"/>
  <c r="H17" i="13"/>
  <c r="I17" i="13"/>
  <c r="J17" i="13"/>
  <c r="K17" i="13"/>
  <c r="C17" i="13"/>
  <c r="I14" i="13"/>
  <c r="H14" i="13"/>
  <c r="G14" i="13"/>
  <c r="L12" i="13"/>
  <c r="L13" i="13" s="1"/>
  <c r="L18" i="13" s="1"/>
  <c r="K12" i="13"/>
  <c r="K13" i="13" s="1"/>
  <c r="J12" i="13"/>
  <c r="J13" i="13" s="1"/>
  <c r="F12" i="13"/>
  <c r="F13" i="13" s="1"/>
  <c r="E12" i="13"/>
  <c r="E13" i="13" s="1"/>
  <c r="J11" i="13"/>
  <c r="I11" i="13"/>
  <c r="H11" i="13"/>
  <c r="G11" i="13"/>
  <c r="F11" i="13"/>
  <c r="E11" i="13"/>
  <c r="D11" i="13"/>
  <c r="C11" i="13"/>
  <c r="J10" i="13"/>
  <c r="I10" i="13"/>
  <c r="H10" i="13"/>
  <c r="G10" i="13"/>
  <c r="F10" i="13"/>
  <c r="E10" i="13"/>
  <c r="D10" i="13"/>
  <c r="C10" i="13"/>
  <c r="J9" i="13"/>
  <c r="I9" i="13"/>
  <c r="H9" i="13"/>
  <c r="H12" i="13" s="1"/>
  <c r="H13" i="13" s="1"/>
  <c r="F9" i="13"/>
  <c r="E9" i="13"/>
  <c r="D9" i="13"/>
  <c r="D12" i="13" s="1"/>
  <c r="D13" i="13" s="1"/>
  <c r="C9" i="13"/>
  <c r="J8" i="13"/>
  <c r="I8" i="13"/>
  <c r="H8" i="13"/>
  <c r="G8" i="13"/>
  <c r="F8" i="13"/>
  <c r="E8" i="13"/>
  <c r="D8" i="13"/>
  <c r="C8" i="13"/>
  <c r="C12" i="13" s="1"/>
  <c r="C13" i="13" s="1"/>
  <c r="J7" i="13"/>
  <c r="I7" i="13"/>
  <c r="I12" i="13" s="1"/>
  <c r="I13" i="13" s="1"/>
  <c r="G7" i="13"/>
  <c r="G12" i="13" s="1"/>
  <c r="G13" i="13" s="1"/>
  <c r="F7" i="13"/>
  <c r="E7" i="13"/>
  <c r="D7" i="13"/>
  <c r="C7" i="13"/>
  <c r="Q6" i="13"/>
  <c r="Q5" i="13"/>
  <c r="K11" i="12"/>
  <c r="K12" i="12" s="1"/>
  <c r="L11" i="12"/>
  <c r="L12" i="12" s="1"/>
  <c r="H15" i="11"/>
  <c r="C15" i="11"/>
  <c r="I5" i="11"/>
  <c r="H28" i="12"/>
  <c r="G28" i="12"/>
  <c r="F28" i="12"/>
  <c r="E28" i="12"/>
  <c r="D28" i="12"/>
  <c r="C28" i="12"/>
  <c r="F26" i="12"/>
  <c r="F27" i="12" s="1"/>
  <c r="F32" i="12" s="1"/>
  <c r="E26" i="12"/>
  <c r="E27" i="12" s="1"/>
  <c r="E32" i="12" s="1"/>
  <c r="D26" i="12"/>
  <c r="D27" i="12" s="1"/>
  <c r="D32" i="12" s="1"/>
  <c r="H25" i="12"/>
  <c r="G25" i="12"/>
  <c r="C25" i="12"/>
  <c r="H24" i="12"/>
  <c r="G24" i="12"/>
  <c r="C24" i="12"/>
  <c r="H23" i="12"/>
  <c r="G23" i="12"/>
  <c r="C23" i="12"/>
  <c r="H22" i="12"/>
  <c r="G22" i="12"/>
  <c r="C22" i="12"/>
  <c r="H26" i="12"/>
  <c r="H27" i="12" s="1"/>
  <c r="H32" i="12" s="1"/>
  <c r="G21" i="12"/>
  <c r="G26" i="12" s="1"/>
  <c r="G27" i="12" s="1"/>
  <c r="G32" i="12" s="1"/>
  <c r="C21" i="12"/>
  <c r="J26" i="11"/>
  <c r="J27" i="11" s="1"/>
  <c r="G28" i="11"/>
  <c r="H26" i="11"/>
  <c r="H27" i="11" s="1"/>
  <c r="H29" i="11" s="1"/>
  <c r="I25" i="11"/>
  <c r="G25" i="11"/>
  <c r="F25" i="11"/>
  <c r="E25" i="11"/>
  <c r="D25" i="11"/>
  <c r="G24" i="11"/>
  <c r="F24" i="11"/>
  <c r="E24" i="11"/>
  <c r="D24" i="11"/>
  <c r="I23" i="11"/>
  <c r="G23" i="11"/>
  <c r="F23" i="11"/>
  <c r="E23" i="11"/>
  <c r="D23" i="11"/>
  <c r="I22" i="11"/>
  <c r="G22" i="11"/>
  <c r="F22" i="11"/>
  <c r="E22" i="11"/>
  <c r="D22" i="11"/>
  <c r="I21" i="11"/>
  <c r="G21" i="11"/>
  <c r="F21" i="11"/>
  <c r="E21" i="11"/>
  <c r="D21" i="11"/>
  <c r="H13" i="12"/>
  <c r="G13" i="12"/>
  <c r="F13" i="12"/>
  <c r="E13" i="12"/>
  <c r="D13" i="12"/>
  <c r="C13" i="12"/>
  <c r="F11" i="12"/>
  <c r="F12" i="12" s="1"/>
  <c r="F14" i="12" s="1"/>
  <c r="E11" i="12"/>
  <c r="E12" i="12" s="1"/>
  <c r="E14" i="12" s="1"/>
  <c r="D11" i="12"/>
  <c r="D12" i="12" s="1"/>
  <c r="D14" i="12" s="1"/>
  <c r="D15" i="12" s="1"/>
  <c r="J10" i="12"/>
  <c r="I10" i="12"/>
  <c r="I25" i="12" s="1"/>
  <c r="H10" i="12"/>
  <c r="G10" i="12"/>
  <c r="C10" i="12"/>
  <c r="J9" i="12"/>
  <c r="I9" i="12"/>
  <c r="I11" i="12" s="1"/>
  <c r="I12" i="12" s="1"/>
  <c r="H9" i="12"/>
  <c r="G9" i="12"/>
  <c r="C9" i="12"/>
  <c r="J8" i="12"/>
  <c r="I8" i="12"/>
  <c r="I23" i="12" s="1"/>
  <c r="H8" i="12"/>
  <c r="G8" i="12"/>
  <c r="C8" i="12"/>
  <c r="J7" i="12"/>
  <c r="I7" i="12"/>
  <c r="I22" i="12" s="1"/>
  <c r="H7" i="12"/>
  <c r="G7" i="12"/>
  <c r="G11" i="12" s="1"/>
  <c r="G12" i="12" s="1"/>
  <c r="C7" i="12"/>
  <c r="J6" i="12"/>
  <c r="I6" i="12"/>
  <c r="H6" i="12"/>
  <c r="G6" i="12"/>
  <c r="C6" i="12"/>
  <c r="H12" i="11"/>
  <c r="G12" i="11"/>
  <c r="K10" i="11"/>
  <c r="K11" i="11" s="1"/>
  <c r="H10" i="11"/>
  <c r="H11" i="11" s="1"/>
  <c r="H13" i="11" s="1"/>
  <c r="J9" i="11"/>
  <c r="I9" i="11"/>
  <c r="G9" i="11"/>
  <c r="F9" i="11"/>
  <c r="E9" i="11"/>
  <c r="D9" i="11"/>
  <c r="C9" i="11"/>
  <c r="J8" i="11"/>
  <c r="G8" i="11"/>
  <c r="F8" i="11"/>
  <c r="E8" i="11"/>
  <c r="D8" i="11"/>
  <c r="C8" i="11"/>
  <c r="I7" i="11"/>
  <c r="G7" i="11"/>
  <c r="F7" i="11"/>
  <c r="E7" i="11"/>
  <c r="D7" i="11"/>
  <c r="C7" i="11"/>
  <c r="J6" i="11"/>
  <c r="I6" i="11"/>
  <c r="G6" i="11"/>
  <c r="F6" i="11"/>
  <c r="E6" i="11"/>
  <c r="D6" i="11"/>
  <c r="C6" i="11"/>
  <c r="J5" i="11"/>
  <c r="G5" i="11"/>
  <c r="F5" i="11"/>
  <c r="E5" i="11"/>
  <c r="D5" i="11"/>
  <c r="C5" i="11"/>
  <c r="D16" i="10"/>
  <c r="E16" i="10"/>
  <c r="F16" i="10"/>
  <c r="C16" i="10"/>
  <c r="E15" i="10"/>
  <c r="E14" i="10"/>
  <c r="E12" i="10"/>
  <c r="E11" i="10"/>
  <c r="D7" i="10"/>
  <c r="F10" i="10"/>
  <c r="D10" i="10"/>
  <c r="C10" i="10"/>
  <c r="F9" i="10"/>
  <c r="D9" i="10"/>
  <c r="C9" i="10"/>
  <c r="C11" i="10" s="1"/>
  <c r="C12" i="10" s="1"/>
  <c r="F8" i="10"/>
  <c r="D8" i="10"/>
  <c r="F7" i="10"/>
  <c r="C7" i="10"/>
  <c r="F6" i="10"/>
  <c r="F11" i="10" s="1"/>
  <c r="F12" i="10" s="1"/>
  <c r="D6" i="10"/>
  <c r="C6" i="10"/>
  <c r="J28" i="9"/>
  <c r="J29" i="9" s="1"/>
  <c r="J31" i="9" s="1"/>
  <c r="H24" i="9"/>
  <c r="H25" i="9"/>
  <c r="H26" i="9"/>
  <c r="H27" i="9"/>
  <c r="H23" i="9"/>
  <c r="G24" i="9"/>
  <c r="G26" i="9"/>
  <c r="G27" i="9"/>
  <c r="D24" i="9"/>
  <c r="K28" i="9"/>
  <c r="K29" i="9" s="1"/>
  <c r="I28" i="9"/>
  <c r="I29" i="9" s="1"/>
  <c r="F27" i="9"/>
  <c r="C27" i="9"/>
  <c r="C28" i="9" s="1"/>
  <c r="F26" i="9"/>
  <c r="C26" i="9"/>
  <c r="F25" i="9"/>
  <c r="C25" i="9"/>
  <c r="F24" i="9"/>
  <c r="C24" i="9"/>
  <c r="F23" i="9"/>
  <c r="E23" i="9"/>
  <c r="E28" i="9" s="1"/>
  <c r="E29" i="9" s="1"/>
  <c r="O12" i="9"/>
  <c r="O13" i="9" s="1"/>
  <c r="N12" i="9"/>
  <c r="N13" i="9" s="1"/>
  <c r="M12" i="9"/>
  <c r="M13" i="9" s="1"/>
  <c r="M15" i="9" s="1"/>
  <c r="L12" i="9"/>
  <c r="L13" i="9" s="1"/>
  <c r="Q13" i="9" s="1"/>
  <c r="K12" i="9"/>
  <c r="K13" i="9" s="1"/>
  <c r="J12" i="9"/>
  <c r="J13" i="9" s="1"/>
  <c r="I12" i="9"/>
  <c r="I13" i="9" s="1"/>
  <c r="H12" i="9"/>
  <c r="H13" i="9" s="1"/>
  <c r="E12" i="9"/>
  <c r="E13" i="9" s="1"/>
  <c r="D11" i="9"/>
  <c r="D27" i="9" s="1"/>
  <c r="C11" i="9"/>
  <c r="D10" i="9"/>
  <c r="D26" i="9" s="1"/>
  <c r="C10" i="9"/>
  <c r="G9" i="9"/>
  <c r="D25" i="9"/>
  <c r="C9" i="9"/>
  <c r="D8" i="9"/>
  <c r="C8" i="9"/>
  <c r="G12" i="9"/>
  <c r="F12" i="9"/>
  <c r="D23" i="9"/>
  <c r="H11" i="7"/>
  <c r="H10" i="7"/>
  <c r="H9" i="7"/>
  <c r="H8" i="7"/>
  <c r="F8" i="7"/>
  <c r="F7" i="7"/>
  <c r="E7" i="7"/>
  <c r="F11" i="7"/>
  <c r="D27" i="7" s="1"/>
  <c r="F10" i="7"/>
  <c r="F9" i="7"/>
  <c r="E11" i="7"/>
  <c r="E10" i="7"/>
  <c r="E9" i="7"/>
  <c r="E8" i="7"/>
  <c r="H7" i="7"/>
  <c r="G7" i="7"/>
  <c r="E23" i="7" s="1"/>
  <c r="D7" i="7"/>
  <c r="C25" i="7"/>
  <c r="F42" i="5"/>
  <c r="F37" i="5"/>
  <c r="F36" i="5"/>
  <c r="F35" i="5"/>
  <c r="F34" i="5"/>
  <c r="F33" i="5"/>
  <c r="E33" i="5"/>
  <c r="I26" i="5"/>
  <c r="B25" i="5"/>
  <c r="B20" i="5"/>
  <c r="B27" i="5"/>
  <c r="C26" i="5"/>
  <c r="C15" i="7"/>
  <c r="C16" i="7" s="1"/>
  <c r="C14" i="7"/>
  <c r="G11" i="7"/>
  <c r="D11" i="7"/>
  <c r="C11" i="7"/>
  <c r="G10" i="7"/>
  <c r="E26" i="7" s="1"/>
  <c r="D10" i="7"/>
  <c r="C10" i="7"/>
  <c r="C26" i="7" s="1"/>
  <c r="G9" i="7"/>
  <c r="E25" i="7" s="1"/>
  <c r="D9" i="7"/>
  <c r="C9" i="7"/>
  <c r="G8" i="7"/>
  <c r="D8" i="7"/>
  <c r="C24" i="7" s="1"/>
  <c r="C8" i="7"/>
  <c r="C7" i="7"/>
  <c r="C28" i="5"/>
  <c r="C29" i="5"/>
  <c r="D28" i="5"/>
  <c r="E28" i="5"/>
  <c r="F28" i="5"/>
  <c r="G28" i="5"/>
  <c r="B28" i="5"/>
  <c r="C24" i="5"/>
  <c r="C23" i="5"/>
  <c r="C22" i="5"/>
  <c r="C21" i="5"/>
  <c r="C20" i="5"/>
  <c r="B21" i="5"/>
  <c r="H47" i="5"/>
  <c r="H42" i="5"/>
  <c r="E15" i="5"/>
  <c r="D39" i="5"/>
  <c r="D40" i="5"/>
  <c r="D41" i="5"/>
  <c r="C56" i="5"/>
  <c r="D56" i="5"/>
  <c r="B56" i="5"/>
  <c r="B57" i="5" s="1"/>
  <c r="C41" i="5"/>
  <c r="E41" i="5"/>
  <c r="G41" i="5"/>
  <c r="G42" i="5" s="1"/>
  <c r="H41" i="5"/>
  <c r="I41" i="5"/>
  <c r="J41" i="5"/>
  <c r="K41" i="5"/>
  <c r="L41" i="5"/>
  <c r="M41" i="5"/>
  <c r="M42" i="5" s="1"/>
  <c r="N41" i="5"/>
  <c r="N42" i="5" s="1"/>
  <c r="B41" i="5"/>
  <c r="C14" i="5"/>
  <c r="D14" i="5"/>
  <c r="E14" i="5"/>
  <c r="F14" i="5"/>
  <c r="G14" i="5"/>
  <c r="L14" i="5" s="1"/>
  <c r="H14" i="5"/>
  <c r="H15" i="5" s="1"/>
  <c r="I14" i="5"/>
  <c r="I15" i="5" s="1"/>
  <c r="J14" i="5"/>
  <c r="J15" i="5" s="1"/>
  <c r="K14" i="5"/>
  <c r="K15" i="5" s="1"/>
  <c r="B14" i="5"/>
  <c r="J93" i="5"/>
  <c r="L55" i="5"/>
  <c r="L57" i="5" s="1"/>
  <c r="L59" i="5" s="1"/>
  <c r="I78" i="5"/>
  <c r="B75" i="5"/>
  <c r="J76" i="5"/>
  <c r="C75" i="5"/>
  <c r="D75" i="5"/>
  <c r="E75" i="5"/>
  <c r="F75" i="5"/>
  <c r="G75" i="5"/>
  <c r="H75" i="5"/>
  <c r="I75" i="5"/>
  <c r="I76" i="5" s="1"/>
  <c r="J75" i="5"/>
  <c r="B76" i="5"/>
  <c r="L56" i="5"/>
  <c r="B40" i="5"/>
  <c r="B42" i="5"/>
  <c r="B24" i="5"/>
  <c r="B23" i="5"/>
  <c r="B22" i="5"/>
  <c r="G20" i="5"/>
  <c r="F93" i="5"/>
  <c r="E93" i="5"/>
  <c r="D93" i="5"/>
  <c r="C93" i="5"/>
  <c r="B93" i="5"/>
  <c r="J92" i="5"/>
  <c r="I92" i="5"/>
  <c r="I93" i="5" s="1"/>
  <c r="H92" i="5"/>
  <c r="H93" i="5" s="1"/>
  <c r="G92" i="5"/>
  <c r="G93" i="5" s="1"/>
  <c r="F92" i="5"/>
  <c r="E92" i="5"/>
  <c r="D92" i="5"/>
  <c r="C92" i="5"/>
  <c r="B92" i="5"/>
  <c r="E76" i="5"/>
  <c r="F76" i="5"/>
  <c r="G76" i="5"/>
  <c r="H76" i="5"/>
  <c r="D76" i="5"/>
  <c r="C76" i="5"/>
  <c r="E56" i="5"/>
  <c r="F54" i="5" s="1"/>
  <c r="E54" i="5"/>
  <c r="O41" i="5"/>
  <c r="O39" i="5"/>
  <c r="L12" i="5"/>
  <c r="C57" i="5"/>
  <c r="D57" i="5"/>
  <c r="I42" i="5"/>
  <c r="J42" i="5"/>
  <c r="K42" i="5"/>
  <c r="L42" i="5"/>
  <c r="E42" i="5"/>
  <c r="D42" i="5"/>
  <c r="C42" i="5"/>
  <c r="G29" i="5"/>
  <c r="E29" i="5"/>
  <c r="B29" i="5"/>
  <c r="F29" i="5"/>
  <c r="D29" i="5"/>
  <c r="B15" i="5"/>
  <c r="H88" i="5"/>
  <c r="H87" i="5"/>
  <c r="H86" i="5"/>
  <c r="H85" i="5"/>
  <c r="H84" i="5"/>
  <c r="C15" i="5"/>
  <c r="D15" i="5"/>
  <c r="F15" i="5"/>
  <c r="G15" i="5"/>
  <c r="C52" i="5"/>
  <c r="C51" i="5"/>
  <c r="C50" i="5"/>
  <c r="C49" i="5"/>
  <c r="C48" i="5"/>
  <c r="D22" i="5"/>
  <c r="G74" i="5"/>
  <c r="G72" i="5"/>
  <c r="G73" i="5" s="1"/>
  <c r="D91" i="5"/>
  <c r="E91" i="5"/>
  <c r="D89" i="5"/>
  <c r="D90" i="5" s="1"/>
  <c r="E89" i="5"/>
  <c r="E90" i="5" s="1"/>
  <c r="F38" i="5"/>
  <c r="F39" i="5" s="1"/>
  <c r="F41" i="5" s="1"/>
  <c r="D38" i="5"/>
  <c r="I13" i="5"/>
  <c r="H13" i="5"/>
  <c r="G13" i="5"/>
  <c r="F13" i="5"/>
  <c r="E13" i="5"/>
  <c r="D13" i="5"/>
  <c r="F74" i="5"/>
  <c r="F73" i="5"/>
  <c r="E73" i="5"/>
  <c r="D73" i="5"/>
  <c r="C73" i="5"/>
  <c r="J72" i="5"/>
  <c r="J73" i="5" s="1"/>
  <c r="I72" i="5"/>
  <c r="I73" i="5" s="1"/>
  <c r="H72" i="5"/>
  <c r="H73" i="5" s="1"/>
  <c r="F72" i="5"/>
  <c r="E72" i="5"/>
  <c r="D72" i="5"/>
  <c r="C72" i="5"/>
  <c r="B72" i="5"/>
  <c r="B73" i="5" s="1"/>
  <c r="D53" i="5"/>
  <c r="D54" i="5" s="1"/>
  <c r="B53" i="5"/>
  <c r="B54" i="5" s="1"/>
  <c r="G25" i="5"/>
  <c r="F25" i="5"/>
  <c r="E25" i="5"/>
  <c r="D25" i="5"/>
  <c r="C25" i="5"/>
  <c r="C27" i="5" s="1"/>
  <c r="N38" i="5"/>
  <c r="N39" i="5" s="1"/>
  <c r="H40" i="5"/>
  <c r="L39" i="5"/>
  <c r="C39" i="5"/>
  <c r="B39" i="5"/>
  <c r="M38" i="5"/>
  <c r="M39" i="5" s="1"/>
  <c r="L38" i="5"/>
  <c r="K38" i="5"/>
  <c r="K39" i="5" s="1"/>
  <c r="J38" i="5"/>
  <c r="J39" i="5" s="1"/>
  <c r="I38" i="5"/>
  <c r="I39" i="5" s="1"/>
  <c r="H38" i="5"/>
  <c r="H39" i="5" s="1"/>
  <c r="G38" i="5"/>
  <c r="G39" i="5" s="1"/>
  <c r="E38" i="5"/>
  <c r="E39" i="5" s="1"/>
  <c r="C38" i="5"/>
  <c r="B38" i="5"/>
  <c r="F26" i="5"/>
  <c r="F27" i="5" s="1"/>
  <c r="G91" i="5"/>
  <c r="F91" i="5"/>
  <c r="C91" i="5"/>
  <c r="B91" i="5"/>
  <c r="B89" i="5"/>
  <c r="B90" i="5" s="1"/>
  <c r="H89" i="5"/>
  <c r="H90" i="5" s="1"/>
  <c r="H91" i="5" s="1"/>
  <c r="C89" i="5"/>
  <c r="C90" i="5" s="1"/>
  <c r="G84" i="5"/>
  <c r="G89" i="5" s="1"/>
  <c r="G90" i="5" s="1"/>
  <c r="G88" i="5"/>
  <c r="G87" i="5"/>
  <c r="G86" i="5"/>
  <c r="G85" i="5"/>
  <c r="F88" i="5"/>
  <c r="F87" i="5"/>
  <c r="F86" i="5"/>
  <c r="F89" i="5" s="1"/>
  <c r="F90" i="5" s="1"/>
  <c r="F85" i="5"/>
  <c r="B88" i="5"/>
  <c r="B87" i="5"/>
  <c r="B86" i="5"/>
  <c r="B85" i="5"/>
  <c r="B84" i="5"/>
  <c r="F71" i="5"/>
  <c r="F70" i="5"/>
  <c r="F69" i="5"/>
  <c r="F68" i="5"/>
  <c r="F67" i="5"/>
  <c r="E71" i="5"/>
  <c r="E70" i="5"/>
  <c r="E69" i="5"/>
  <c r="E68" i="5"/>
  <c r="E67" i="5"/>
  <c r="D71" i="5"/>
  <c r="D70" i="5"/>
  <c r="D69" i="5"/>
  <c r="D68" i="5"/>
  <c r="D67" i="5"/>
  <c r="C33" i="5"/>
  <c r="C37" i="5"/>
  <c r="C36" i="5"/>
  <c r="C35" i="5"/>
  <c r="C34" i="5"/>
  <c r="B37" i="5"/>
  <c r="B36" i="5"/>
  <c r="B35" i="5"/>
  <c r="B34" i="5"/>
  <c r="B33" i="5"/>
  <c r="D24" i="5"/>
  <c r="I88" i="5"/>
  <c r="I87" i="5"/>
  <c r="I86" i="5"/>
  <c r="I85" i="5"/>
  <c r="I89" i="5" s="1"/>
  <c r="I90" i="5" s="1"/>
  <c r="I91" i="5" s="1"/>
  <c r="I84" i="5"/>
  <c r="F84" i="5"/>
  <c r="I71" i="5"/>
  <c r="I70" i="5"/>
  <c r="I69" i="5"/>
  <c r="I68" i="5"/>
  <c r="I67" i="5"/>
  <c r="H71" i="5"/>
  <c r="H69" i="5"/>
  <c r="H68" i="5"/>
  <c r="H67" i="5"/>
  <c r="C71" i="5"/>
  <c r="C70" i="5"/>
  <c r="C69" i="5"/>
  <c r="C68" i="5"/>
  <c r="C67" i="5"/>
  <c r="B71" i="5"/>
  <c r="B70" i="5"/>
  <c r="B69" i="5"/>
  <c r="B68" i="5"/>
  <c r="B67" i="5"/>
  <c r="D52" i="5"/>
  <c r="D51" i="5"/>
  <c r="D50" i="5"/>
  <c r="D49" i="5"/>
  <c r="D48" i="5"/>
  <c r="B52" i="5"/>
  <c r="B51" i="5"/>
  <c r="B49" i="5"/>
  <c r="B48" i="5"/>
  <c r="G24" i="5"/>
  <c r="G23" i="5"/>
  <c r="G22" i="5"/>
  <c r="G21" i="5"/>
  <c r="G26" i="5" s="1"/>
  <c r="G27" i="5" s="1"/>
  <c r="F24" i="5"/>
  <c r="F23" i="5"/>
  <c r="F22" i="5"/>
  <c r="F21" i="5"/>
  <c r="F20" i="5"/>
  <c r="E24" i="5"/>
  <c r="E23" i="5"/>
  <c r="E22" i="5"/>
  <c r="E21" i="5"/>
  <c r="E20" i="5"/>
  <c r="D23" i="5"/>
  <c r="D26" i="5" s="1"/>
  <c r="D27" i="5" s="1"/>
  <c r="D21" i="5"/>
  <c r="D20" i="5"/>
  <c r="G10" i="5"/>
  <c r="I10" i="5"/>
  <c r="I9" i="5"/>
  <c r="I8" i="5"/>
  <c r="I7" i="5"/>
  <c r="I6" i="5"/>
  <c r="H9" i="5"/>
  <c r="H10" i="5"/>
  <c r="H8" i="5"/>
  <c r="H7" i="5"/>
  <c r="H6" i="5"/>
  <c r="G9" i="5"/>
  <c r="G8" i="5"/>
  <c r="G11" i="5" s="1"/>
  <c r="G12" i="5" s="1"/>
  <c r="G7" i="5"/>
  <c r="F9" i="5"/>
  <c r="F10" i="5"/>
  <c r="F7" i="5"/>
  <c r="F6" i="5"/>
  <c r="E10" i="5"/>
  <c r="E9" i="5"/>
  <c r="E8" i="5"/>
  <c r="E7" i="5"/>
  <c r="E11" i="5" s="1"/>
  <c r="E12" i="5" s="1"/>
  <c r="E6" i="5"/>
  <c r="D10" i="5"/>
  <c r="D9" i="5"/>
  <c r="D8" i="5"/>
  <c r="D7" i="5"/>
  <c r="D6" i="5"/>
  <c r="J11" i="5"/>
  <c r="J12" i="5" s="1"/>
  <c r="K11" i="5"/>
  <c r="K12" i="5" s="1"/>
  <c r="C10" i="5"/>
  <c r="C9" i="5"/>
  <c r="C8" i="5"/>
  <c r="C11" i="5" s="1"/>
  <c r="C12" i="5" s="1"/>
  <c r="C7" i="5"/>
  <c r="C6" i="5"/>
  <c r="B10" i="5"/>
  <c r="B9" i="5"/>
  <c r="B8" i="5"/>
  <c r="B7" i="5"/>
  <c r="B6" i="5"/>
  <c r="B11" i="5" s="1"/>
  <c r="B12" i="5" s="1"/>
  <c r="J11" i="12" l="1"/>
  <c r="J12" i="12" s="1"/>
  <c r="C26" i="12"/>
  <c r="C27" i="12" s="1"/>
  <c r="C32" i="12" s="1"/>
  <c r="C11" i="12"/>
  <c r="C12" i="12" s="1"/>
  <c r="C14" i="12" s="1"/>
  <c r="C15" i="12" s="1"/>
  <c r="I24" i="12"/>
  <c r="I26" i="12" s="1"/>
  <c r="I27" i="12" s="1"/>
  <c r="H11" i="12"/>
  <c r="H12" i="12" s="1"/>
  <c r="G28" i="9"/>
  <c r="G31" i="9" s="1"/>
  <c r="G32" i="9" s="1"/>
  <c r="G33" i="9" s="1"/>
  <c r="H28" i="9"/>
  <c r="H29" i="9" s="1"/>
  <c r="H31" i="9" s="1"/>
  <c r="H32" i="9" s="1"/>
  <c r="H33" i="9" s="1"/>
  <c r="D28" i="9"/>
  <c r="D29" i="9" s="1"/>
  <c r="C12" i="9"/>
  <c r="C13" i="9" s="1"/>
  <c r="D12" i="9"/>
  <c r="D13" i="9" s="1"/>
  <c r="D15" i="9" s="1"/>
  <c r="D16" i="9" s="1"/>
  <c r="F28" i="9"/>
  <c r="F29" i="9" s="1"/>
  <c r="F31" i="9" s="1"/>
  <c r="F32" i="9" s="1"/>
  <c r="F33" i="9" s="1"/>
  <c r="F12" i="7"/>
  <c r="F13" i="7" s="1"/>
  <c r="H12" i="7"/>
  <c r="H13" i="7" s="1"/>
  <c r="E24" i="7"/>
  <c r="E28" i="7" s="1"/>
  <c r="C27" i="7"/>
  <c r="D25" i="7"/>
  <c r="D26" i="7"/>
  <c r="D28" i="7" s="1"/>
  <c r="D12" i="7"/>
  <c r="D13" i="7" s="1"/>
  <c r="D16" i="7" s="1"/>
  <c r="C23" i="7"/>
  <c r="E27" i="7"/>
  <c r="C28" i="7"/>
  <c r="C29" i="7"/>
  <c r="G12" i="7"/>
  <c r="G13" i="7" s="1"/>
  <c r="G14" i="7" s="1"/>
  <c r="D24" i="7"/>
  <c r="C12" i="7"/>
  <c r="E14" i="13"/>
  <c r="E15" i="13"/>
  <c r="E16" i="13" s="1"/>
  <c r="J15" i="13"/>
  <c r="J16" i="13" s="1"/>
  <c r="J14" i="13"/>
  <c r="K15" i="13"/>
  <c r="K16" i="13" s="1"/>
  <c r="O13" i="13"/>
  <c r="G15" i="13"/>
  <c r="C16" i="13"/>
  <c r="C15" i="13"/>
  <c r="H15" i="13"/>
  <c r="H16" i="13" s="1"/>
  <c r="I15" i="13"/>
  <c r="I16" i="13" s="1"/>
  <c r="D15" i="13"/>
  <c r="D16" i="13" s="1"/>
  <c r="F14" i="13"/>
  <c r="F15" i="13"/>
  <c r="F16" i="13" s="1"/>
  <c r="L15" i="13"/>
  <c r="L16" i="13" s="1"/>
  <c r="L17" i="13" s="1"/>
  <c r="L13" i="12"/>
  <c r="L14" i="12"/>
  <c r="L15" i="12" s="1"/>
  <c r="K13" i="12"/>
  <c r="K14" i="12"/>
  <c r="K15" i="12" s="1"/>
  <c r="E10" i="11"/>
  <c r="E11" i="11" s="1"/>
  <c r="C26" i="11"/>
  <c r="C27" i="11" s="1"/>
  <c r="I26" i="11"/>
  <c r="I27" i="11" s="1"/>
  <c r="C10" i="11"/>
  <c r="C11" i="11" s="1"/>
  <c r="C13" i="11" s="1"/>
  <c r="I10" i="11"/>
  <c r="I11" i="11" s="1"/>
  <c r="I13" i="11" s="1"/>
  <c r="I14" i="11" s="1"/>
  <c r="I15" i="11" s="1"/>
  <c r="F10" i="11"/>
  <c r="F11" i="11" s="1"/>
  <c r="F13" i="11" s="1"/>
  <c r="D10" i="11"/>
  <c r="D11" i="11" s="1"/>
  <c r="D13" i="11" s="1"/>
  <c r="D14" i="11" s="1"/>
  <c r="D15" i="11" s="1"/>
  <c r="J10" i="11"/>
  <c r="J11" i="11" s="1"/>
  <c r="J13" i="11" s="1"/>
  <c r="J14" i="11" s="1"/>
  <c r="J15" i="11" s="1"/>
  <c r="G10" i="11"/>
  <c r="G11" i="11" s="1"/>
  <c r="G13" i="11" s="1"/>
  <c r="D26" i="11"/>
  <c r="D27" i="11" s="1"/>
  <c r="D29" i="11" s="1"/>
  <c r="D30" i="11" s="1"/>
  <c r="D31" i="11" s="1"/>
  <c r="G26" i="11"/>
  <c r="G27" i="11" s="1"/>
  <c r="K13" i="11"/>
  <c r="K14" i="11" s="1"/>
  <c r="K15" i="11" s="1"/>
  <c r="E26" i="11"/>
  <c r="E27" i="11" s="1"/>
  <c r="F26" i="11"/>
  <c r="F27" i="11" s="1"/>
  <c r="D29" i="12"/>
  <c r="D30" i="12" s="1"/>
  <c r="D31" i="12" s="1"/>
  <c r="E29" i="12"/>
  <c r="E30" i="12" s="1"/>
  <c r="E31" i="12" s="1"/>
  <c r="F29" i="12"/>
  <c r="F30" i="12" s="1"/>
  <c r="F31" i="12" s="1"/>
  <c r="H29" i="12"/>
  <c r="H30" i="12" s="1"/>
  <c r="H31" i="12" s="1"/>
  <c r="C29" i="12"/>
  <c r="C30" i="12" s="1"/>
  <c r="C31" i="12" s="1"/>
  <c r="G29" i="12"/>
  <c r="G30" i="12" s="1"/>
  <c r="G31" i="12" s="1"/>
  <c r="J29" i="11"/>
  <c r="J30" i="11" s="1"/>
  <c r="J31" i="11" s="1"/>
  <c r="E29" i="11"/>
  <c r="E30" i="11"/>
  <c r="E31" i="11" s="1"/>
  <c r="I29" i="11"/>
  <c r="I30" i="11" s="1"/>
  <c r="I31" i="11" s="1"/>
  <c r="F29" i="11"/>
  <c r="F30" i="11"/>
  <c r="F31" i="11" s="1"/>
  <c r="H30" i="11"/>
  <c r="H31" i="11" s="1"/>
  <c r="G14" i="12"/>
  <c r="G15" i="12" s="1"/>
  <c r="H14" i="12"/>
  <c r="H15" i="12"/>
  <c r="I14" i="12"/>
  <c r="I15" i="12" s="1"/>
  <c r="I13" i="12"/>
  <c r="J14" i="12"/>
  <c r="J15" i="12" s="1"/>
  <c r="J13" i="12"/>
  <c r="E15" i="12"/>
  <c r="F15" i="12"/>
  <c r="E13" i="11"/>
  <c r="E14" i="11" s="1"/>
  <c r="E15" i="11" s="1"/>
  <c r="H14" i="11"/>
  <c r="D11" i="10"/>
  <c r="D12" i="10" s="1"/>
  <c r="C14" i="10"/>
  <c r="G12" i="10"/>
  <c r="F14" i="10"/>
  <c r="F15" i="10" s="1"/>
  <c r="D14" i="10"/>
  <c r="D15" i="10" s="1"/>
  <c r="J32" i="9"/>
  <c r="J33" i="9" s="1"/>
  <c r="I31" i="9"/>
  <c r="I32" i="9" s="1"/>
  <c r="I33" i="9" s="1"/>
  <c r="K31" i="9"/>
  <c r="K32" i="9" s="1"/>
  <c r="K33" i="9" s="1"/>
  <c r="D31" i="9"/>
  <c r="D32" i="9" s="1"/>
  <c r="E31" i="9"/>
  <c r="E32" i="9" s="1"/>
  <c r="H15" i="9"/>
  <c r="H16" i="9" s="1"/>
  <c r="I16" i="9"/>
  <c r="J15" i="9"/>
  <c r="J16" i="9" s="1"/>
  <c r="K15" i="9"/>
  <c r="K16" i="9" s="1"/>
  <c r="L15" i="9"/>
  <c r="L16" i="9" s="1"/>
  <c r="E15" i="9"/>
  <c r="E16" i="9" s="1"/>
  <c r="N15" i="9"/>
  <c r="N16" i="9" s="1"/>
  <c r="O15" i="9"/>
  <c r="O16" i="9" s="1"/>
  <c r="F16" i="9"/>
  <c r="G15" i="9"/>
  <c r="M16" i="9"/>
  <c r="E29" i="7"/>
  <c r="D23" i="7"/>
  <c r="D29" i="7"/>
  <c r="E12" i="7"/>
  <c r="E13" i="7" s="1"/>
  <c r="E15" i="7" s="1"/>
  <c r="F15" i="7"/>
  <c r="F16" i="7" s="1"/>
  <c r="F14" i="7"/>
  <c r="H15" i="7"/>
  <c r="H16" i="7" s="1"/>
  <c r="H14" i="7"/>
  <c r="D15" i="7"/>
  <c r="H26" i="5"/>
  <c r="H28" i="5"/>
  <c r="I28" i="5" s="1"/>
  <c r="P41" i="5"/>
  <c r="M14" i="5"/>
  <c r="M12" i="5"/>
  <c r="F56" i="5"/>
  <c r="P39" i="5"/>
  <c r="C53" i="5"/>
  <c r="C54" i="5" s="1"/>
  <c r="E26" i="5"/>
  <c r="E27" i="5" s="1"/>
  <c r="I11" i="5"/>
  <c r="I12" i="5" s="1"/>
  <c r="H11" i="5"/>
  <c r="H12" i="5" s="1"/>
  <c r="F11" i="5"/>
  <c r="F12" i="5" s="1"/>
  <c r="D11" i="5"/>
  <c r="D12" i="5" s="1"/>
  <c r="O15" i="13" l="1"/>
  <c r="I32" i="12"/>
  <c r="I28" i="12"/>
  <c r="I29" i="12"/>
  <c r="I30" i="12" s="1"/>
  <c r="I31" i="12" s="1"/>
  <c r="G15" i="7"/>
  <c r="G16" i="7" s="1"/>
  <c r="D14" i="7"/>
  <c r="C31" i="7"/>
  <c r="C32" i="7" s="1"/>
  <c r="C33" i="7" s="1"/>
  <c r="F29" i="7"/>
  <c r="C29" i="11"/>
  <c r="C30" i="11" s="1"/>
  <c r="C31" i="11" s="1"/>
  <c r="P13" i="13"/>
  <c r="P15" i="13"/>
  <c r="G16" i="13"/>
  <c r="F14" i="11"/>
  <c r="F15" i="11" s="1"/>
  <c r="C14" i="11"/>
  <c r="G14" i="11"/>
  <c r="G15" i="11" s="1"/>
  <c r="G29" i="11"/>
  <c r="G30" i="11" s="1"/>
  <c r="G31" i="11" s="1"/>
  <c r="G14" i="10"/>
  <c r="H14" i="10" s="1"/>
  <c r="C15" i="10"/>
  <c r="Q15" i="9"/>
  <c r="R15" i="9" s="1"/>
  <c r="I13" i="7"/>
  <c r="E14" i="7"/>
  <c r="E31" i="7"/>
  <c r="E32" i="7" s="1"/>
  <c r="E33" i="7" s="1"/>
  <c r="I15" i="7"/>
  <c r="D31" i="7"/>
  <c r="D32" i="7" s="1"/>
  <c r="D33" i="7" s="1"/>
  <c r="J15" i="7" l="1"/>
  <c r="F31" i="7"/>
  <c r="G29" i="7" s="1"/>
  <c r="H12" i="10"/>
  <c r="R13" i="9"/>
  <c r="J13" i="7"/>
  <c r="G31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C25" authorId="0" shapeId="0" xr:uid="{47CF7389-817B-4B10-8A94-2D73D931BABB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preguntar si este tiempo se tomo por 1 puño o por 2 </t>
        </r>
      </text>
    </comment>
    <comment ref="G30" authorId="0" shapeId="0" xr:uid="{396504A0-DE4C-464E-9A64-5C0216938C45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tuvo que revisar el trabajo detenidamente.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tc={B709E2B6-87DA-4651-AB3D-03652C59F89C}</author>
    <author>LENOVO</author>
  </authors>
  <commentList>
    <comment ref="B18" authorId="0" shapeId="0" xr:uid="{B709E2B6-87DA-4651-AB3D-03652C59F89C}">
      <text>
        <t>[Threaded comment]
Your version of Excel allows you to read this threaded comment; however, any edits to it will get removed if the file is opened in a newer version of Excel. Learn more: https://go.microsoft.com/fwlink/?linkid=870924
Comment:
    Los operadores que deben hacer 2 actividades o mas se deben identificar. Esto debido a que no se centran en una sola tarea al mismo tiempo y la capacidad de 540 minutos no es real ya que no usan todos los 540 min en una actividad.</t>
      </text>
    </comment>
    <comment ref="C32" authorId="1" shapeId="0" xr:uid="{4E04B4E9-E584-49AE-AA76-D1E7C5DE398F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preguntar si este tiempo se tomo por 1 puño o por 2 </t>
        </r>
      </text>
    </comment>
    <comment ref="I37" authorId="1" shapeId="0" xr:uid="{85209503-76F2-4312-9AA4-71323D56E8DC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tuvo que revisar el trabajo detenidamente.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J11" authorId="0" shapeId="0" xr:uid="{ED4B602D-1636-4A8B-BF25-4184EA491234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tuvo que revisar el trabajo detenidamente.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L11" authorId="0" shapeId="0" xr:uid="{B2A4B42C-D1E6-4EA4-B03E-F8256FF82445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pespunte de cuello a recortar cuello
lugo entirado y despues tercera costura y por ultimo afinar banda y piquete en banda .</t>
        </r>
      </text>
    </comment>
    <comment ref="N11" authorId="0" shapeId="0" xr:uid="{1C0201A3-E864-47F4-BED4-6D74AC1ABA81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8" authorId="0" shapeId="0" xr:uid="{018D537E-E7A1-46BC-BD0A-9A4C29A9208C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El ruedo de banda se necesita para entirado.
De afinado pasa a entirado y de entirado pasa a tercera costura.</t>
        </r>
      </text>
    </comment>
  </commentList>
</comments>
</file>

<file path=xl/sharedStrings.xml><?xml version="1.0" encoding="utf-8"?>
<sst xmlns="http://schemas.openxmlformats.org/spreadsheetml/2006/main" count="741" uniqueCount="248">
  <si>
    <t>Justina Lagos</t>
  </si>
  <si>
    <t>Frentes derecho</t>
  </si>
  <si>
    <t>Nombre</t>
  </si>
  <si>
    <t>Marta Ortiz</t>
  </si>
  <si>
    <t xml:space="preserve">Leo- cualquir operador </t>
  </si>
  <si>
    <t>Sayra Madoza</t>
  </si>
  <si>
    <t>Bessy Dias</t>
  </si>
  <si>
    <t>Kelvin Ortiz</t>
  </si>
  <si>
    <t xml:space="preserve"> </t>
  </si>
  <si>
    <t>subproceso</t>
  </si>
  <si>
    <t>Tira de botones</t>
  </si>
  <si>
    <t>Pegado de bolsa</t>
  </si>
  <si>
    <t>Ruedo de bolsa</t>
  </si>
  <si>
    <t>Fusionado frente izquierdo</t>
  </si>
  <si>
    <t>Planchar Turback izquierdo</t>
  </si>
  <si>
    <t>Planchar bolsa</t>
  </si>
  <si>
    <t xml:space="preserve">pegado de banda </t>
  </si>
  <si>
    <t>Ojales</t>
  </si>
  <si>
    <t>Hacer Boton (nueva)</t>
  </si>
  <si>
    <t>Costura Izquierda</t>
  </si>
  <si>
    <t>total</t>
  </si>
  <si>
    <t>promedio</t>
  </si>
  <si>
    <t xml:space="preserve">Mangas </t>
  </si>
  <si>
    <t>Hacer pico</t>
  </si>
  <si>
    <t>Hacer paleton</t>
  </si>
  <si>
    <t>Jareta grande</t>
  </si>
  <si>
    <t>Jareta Pequeña</t>
  </si>
  <si>
    <t>Recortado</t>
  </si>
  <si>
    <t>Ojal y boton</t>
  </si>
  <si>
    <t>Cuello y Puños</t>
  </si>
  <si>
    <t>Emelina Caceres</t>
  </si>
  <si>
    <t>1 puño</t>
  </si>
  <si>
    <t>2 puños</t>
  </si>
  <si>
    <t>Hacer Taco</t>
  </si>
  <si>
    <t>Ruedo de Puño</t>
  </si>
  <si>
    <t>Cerrar cuello (solido)</t>
  </si>
  <si>
    <t>Planchar Cuello</t>
  </si>
  <si>
    <t xml:space="preserve">planchar puño </t>
  </si>
  <si>
    <t>Pespunte cuellos</t>
  </si>
  <si>
    <t>Pespunte puños</t>
  </si>
  <si>
    <t>Entirado</t>
  </si>
  <si>
    <t>Tercer Costura</t>
  </si>
  <si>
    <t>Puntear Tercera Costura</t>
  </si>
  <si>
    <t>Afinado de Banda</t>
  </si>
  <si>
    <t xml:space="preserve">ensamble 1 o 2 </t>
  </si>
  <si>
    <t xml:space="preserve">unido de hombro </t>
  </si>
  <si>
    <t>Espaldas</t>
  </si>
  <si>
    <t>Pegar Etiqueta</t>
  </si>
  <si>
    <t>Paletones</t>
  </si>
  <si>
    <t xml:space="preserve">Armado </t>
  </si>
  <si>
    <t>Pespunte</t>
  </si>
  <si>
    <t>Ensamble 1</t>
  </si>
  <si>
    <t xml:space="preserve">Unir hombro </t>
  </si>
  <si>
    <t xml:space="preserve">Pegar cuello </t>
  </si>
  <si>
    <t>Tapar cuello</t>
  </si>
  <si>
    <t>Pegar mangas</t>
  </si>
  <si>
    <t>Pespunte de mangas</t>
  </si>
  <si>
    <t>Afinar mangas</t>
  </si>
  <si>
    <t xml:space="preserve">Pespunte de hombro </t>
  </si>
  <si>
    <t>ruedo de falda</t>
  </si>
  <si>
    <t xml:space="preserve">Ensamble 2 </t>
  </si>
  <si>
    <t>Afinado Costado</t>
  </si>
  <si>
    <t>Frances 1</t>
  </si>
  <si>
    <t>Frances 2</t>
  </si>
  <si>
    <t>Puño</t>
  </si>
  <si>
    <t xml:space="preserve">Ojal  y botones de banda </t>
  </si>
  <si>
    <t xml:space="preserve">Ojal y botones de puños </t>
  </si>
  <si>
    <t>TackTime</t>
  </si>
  <si>
    <t>min</t>
  </si>
  <si>
    <t xml:space="preserve">min </t>
  </si>
  <si>
    <t>Tiempo de producción por dia(min)</t>
  </si>
  <si>
    <t>min al mes</t>
  </si>
  <si>
    <t>min a la semana</t>
  </si>
  <si>
    <t>min al dia</t>
  </si>
  <si>
    <t xml:space="preserve">Demanda del Cliente </t>
  </si>
  <si>
    <t>MES</t>
  </si>
  <si>
    <t>SEMANA</t>
  </si>
  <si>
    <t>DIA</t>
  </si>
  <si>
    <t>Total Tiempo</t>
  </si>
  <si>
    <t>Capacidad (450 min)</t>
  </si>
  <si>
    <t>Promedio(min)</t>
  </si>
  <si>
    <t xml:space="preserve">piezas al dia </t>
  </si>
  <si>
    <t>Promedio (min:seg)</t>
  </si>
  <si>
    <t>Total Fatiga</t>
  </si>
  <si>
    <t>Capacidad (660 min)</t>
  </si>
  <si>
    <t>fatiga</t>
  </si>
  <si>
    <t>CAPACIDAD (PIEZAS AL DIA)</t>
  </si>
  <si>
    <t>Recortar Jareta</t>
  </si>
  <si>
    <t xml:space="preserve">Sandy Godoy </t>
  </si>
  <si>
    <t>Deibi Morgan</t>
  </si>
  <si>
    <t>Marlen Ortiz</t>
  </si>
  <si>
    <t>Emilia Gonzales</t>
  </si>
  <si>
    <t xml:space="preserve">Josue Bustillo </t>
  </si>
  <si>
    <t>Marian Espino</t>
  </si>
  <si>
    <t>Eveling Avila</t>
  </si>
  <si>
    <t>Damaris Flores</t>
  </si>
  <si>
    <t>Ruedo de banda</t>
  </si>
  <si>
    <t>Cerrar puño (2)</t>
  </si>
  <si>
    <t>planchar puño (1 puño)</t>
  </si>
  <si>
    <t>Pespunte cuellos (2 puños)</t>
  </si>
  <si>
    <t>Suyapa</t>
  </si>
  <si>
    <t xml:space="preserve">Paletones y Armado </t>
  </si>
  <si>
    <t>Pespunte de Espalda</t>
  </si>
  <si>
    <t>mas 15%</t>
  </si>
  <si>
    <t>capacidad</t>
  </si>
  <si>
    <t>Delcia Padilla</t>
  </si>
  <si>
    <t>Emilina Caceres</t>
  </si>
  <si>
    <t>Karina Ochoa</t>
  </si>
  <si>
    <t>Maryori Hernandez</t>
  </si>
  <si>
    <t>Joselyn Ramirez</t>
  </si>
  <si>
    <t>Lilian Mendoza</t>
  </si>
  <si>
    <t>Norma</t>
  </si>
  <si>
    <t>Ruth</t>
  </si>
  <si>
    <t>Ana Reconco</t>
  </si>
  <si>
    <t>Daniela Alvarez</t>
  </si>
  <si>
    <t>Elisa Figueroa</t>
  </si>
  <si>
    <t>Mirian Espino</t>
  </si>
  <si>
    <t>Eveling Avila y Damaris Flores</t>
  </si>
  <si>
    <t>Iris</t>
  </si>
  <si>
    <t>Afinado de Cuello</t>
  </si>
  <si>
    <t xml:space="preserve">Recortar Cuello </t>
  </si>
  <si>
    <t xml:space="preserve">     </t>
  </si>
  <si>
    <t>Eficiencia</t>
  </si>
  <si>
    <t>Josue Bustillo</t>
  </si>
  <si>
    <t>Mirian Espinoza</t>
  </si>
  <si>
    <t>Evelin Avila</t>
  </si>
  <si>
    <t>Ruedo de Puño y Banda</t>
  </si>
  <si>
    <t xml:space="preserve">Planchar Cuello y Puño </t>
  </si>
  <si>
    <t>Pespunte de Puño y Cuello</t>
  </si>
  <si>
    <t>Tercer Costura, Puntear Costura, Afinar Cuello y Recortar Cuello</t>
  </si>
  <si>
    <t>BUEN TIEMPO</t>
  </si>
  <si>
    <t>El tiempo de la operación es adecuado para completar 500 unidades</t>
  </si>
  <si>
    <t>MAL TIEMPO</t>
  </si>
  <si>
    <t>El tiempo de la operación no es adecuado para completar 500 unidades</t>
  </si>
  <si>
    <t xml:space="preserve">TackTime </t>
  </si>
  <si>
    <t xml:space="preserve">Tiempo medio que debe tener cada operación para completar la meta de 500 unidades. </t>
  </si>
  <si>
    <t>tiempo muertos</t>
  </si>
  <si>
    <t>Cambiar de silla (jareta grande a pequeña)</t>
  </si>
  <si>
    <t xml:space="preserve">ver tiempos de entrega de lote de jareta grande o pequeña o cantidad de lotes entregados en 1 dia </t>
  </si>
  <si>
    <t>Mangas (Capacidad por operación)</t>
  </si>
  <si>
    <t>Cambio de hilo</t>
  </si>
  <si>
    <t xml:space="preserve">cada vez que se termina un lote, se cambia de hilo </t>
  </si>
  <si>
    <t>Matilde Gonzales</t>
  </si>
  <si>
    <t>Matilde Estrada</t>
  </si>
  <si>
    <t>Viviana Estrada</t>
  </si>
  <si>
    <t xml:space="preserve">Melva Carcamo </t>
  </si>
  <si>
    <t>reprocesos</t>
  </si>
  <si>
    <t xml:space="preserve">necesito que en calidad me diagn cuantas veces se devolvio algo a jareta y tiempo de descostura + costura </t>
  </si>
  <si>
    <t>Hacer Pico</t>
  </si>
  <si>
    <t>Hacer Paleton</t>
  </si>
  <si>
    <t>Jareta Grande</t>
  </si>
  <si>
    <t>Ojal y Boton</t>
  </si>
  <si>
    <t>tomar medidas</t>
  </si>
  <si>
    <t xml:space="preserve">media total tiempos muestos en el dia por cada operador </t>
  </si>
  <si>
    <t>Mangas (Capacidad por operador)</t>
  </si>
  <si>
    <t xml:space="preserve">Hacer Pico y Paleton </t>
  </si>
  <si>
    <t>Jareta Grande y Pequeña</t>
  </si>
  <si>
    <t>Recortar Jareta y Hacer Ojal y Boton de Manga</t>
  </si>
  <si>
    <t>b</t>
  </si>
  <si>
    <t>Ilse y Dixiana</t>
  </si>
  <si>
    <t>Mirian y Leo</t>
  </si>
  <si>
    <t>Sayra Mendoza</t>
  </si>
  <si>
    <t>Saida</t>
  </si>
  <si>
    <t xml:space="preserve">Bessy y Dixiana </t>
  </si>
  <si>
    <t xml:space="preserve">Kelvin y Dixiana </t>
  </si>
  <si>
    <t>Leo</t>
  </si>
  <si>
    <t>Mirian</t>
  </si>
  <si>
    <t>Coser Tira de Pecho</t>
  </si>
  <si>
    <t xml:space="preserve">Comparar frente izquierdo y derecho </t>
  </si>
  <si>
    <t xml:space="preserve">Ruedo de frente derecho </t>
  </si>
  <si>
    <t xml:space="preserve">        ll </t>
  </si>
  <si>
    <t xml:space="preserve">Eficiencia </t>
  </si>
  <si>
    <t>Ilse</t>
  </si>
  <si>
    <t xml:space="preserve">Leo </t>
  </si>
  <si>
    <t>Dixiana</t>
  </si>
  <si>
    <t xml:space="preserve">Ruedo de bolsa, Fusionado de frente izquierdo, Coser tira de pecho </t>
  </si>
  <si>
    <t>Planchar Turback</t>
  </si>
  <si>
    <t xml:space="preserve">Planchar Bolsa y Coser boton </t>
  </si>
  <si>
    <t xml:space="preserve">Pegado de banda y Coser Tira de Pecho </t>
  </si>
  <si>
    <t xml:space="preserve">Ojales </t>
  </si>
  <si>
    <t>Hacer Boton, Coser tirade Pecho y Tira de botones</t>
  </si>
  <si>
    <t>Hacer y Pegar Anillo</t>
  </si>
  <si>
    <t xml:space="preserve">Justina Lagos </t>
  </si>
  <si>
    <t>Ruedo de falda (Ensamble 1 o 2)</t>
  </si>
  <si>
    <t xml:space="preserve">Unir y Pespunte de  hombro </t>
  </si>
  <si>
    <t xml:space="preserve">Pegar Cuello </t>
  </si>
  <si>
    <t>Tapar Cuello</t>
  </si>
  <si>
    <t>Pegar Mangas</t>
  </si>
  <si>
    <t>Pespunte de Mangas</t>
  </si>
  <si>
    <t>Ruedo de Falda (Ensamble 1 o 2)</t>
  </si>
  <si>
    <t>Wilda Ayala</t>
  </si>
  <si>
    <t>Sandra</t>
  </si>
  <si>
    <t>Pegar Puño</t>
  </si>
  <si>
    <t>Ojal y botones de puños ( 1 puño)</t>
  </si>
  <si>
    <t xml:space="preserve">Remate </t>
  </si>
  <si>
    <t>Boton Extra</t>
  </si>
  <si>
    <t xml:space="preserve">        </t>
  </si>
  <si>
    <t xml:space="preserve">Ojal  y botones de Puño Y banda, Remate, Boton Extra, </t>
  </si>
  <si>
    <t>Diagrama de Movimiento y Tiempos</t>
  </si>
  <si>
    <t>Ensamble 2</t>
  </si>
  <si>
    <t>Cerrar Puño</t>
  </si>
  <si>
    <t xml:space="preserve"> Pegar Puño</t>
  </si>
  <si>
    <t>Cuello y Puño</t>
  </si>
  <si>
    <t>Planchar Cuello y puño</t>
  </si>
  <si>
    <t xml:space="preserve">Cuello </t>
  </si>
  <si>
    <t>Cerrar Cuello</t>
  </si>
  <si>
    <t>Recortar cuello</t>
  </si>
  <si>
    <t>Tercera Costura</t>
  </si>
  <si>
    <t>afinado de cuello</t>
  </si>
  <si>
    <t xml:space="preserve">Afinar costado </t>
  </si>
  <si>
    <t>Ojal y Boton de Banda</t>
  </si>
  <si>
    <t>Mangas</t>
  </si>
  <si>
    <t>Hacer Jareta Grande</t>
  </si>
  <si>
    <t>Hacer Jareta Pequeña</t>
  </si>
  <si>
    <t>Ojal y Boton de Manga</t>
  </si>
  <si>
    <t>afinar mangas (cuadros y rayas)</t>
  </si>
  <si>
    <t>Frentes izquierdo (bolsas)</t>
  </si>
  <si>
    <t>Turback izquierdo</t>
  </si>
  <si>
    <t xml:space="preserve">coser tira de pecho </t>
  </si>
  <si>
    <t>Ruedo de Bolsa</t>
  </si>
  <si>
    <t>Planchar Bolsa</t>
  </si>
  <si>
    <t xml:space="preserve">Pegar Bolsa frente izquierdo </t>
  </si>
  <si>
    <t xml:space="preserve">Hacer Ojal </t>
  </si>
  <si>
    <t xml:space="preserve">comparar frente izquierdo con derecho </t>
  </si>
  <si>
    <t xml:space="preserve">frente derecho </t>
  </si>
  <si>
    <t xml:space="preserve">ruedo de frente </t>
  </si>
  <si>
    <t xml:space="preserve"> pegar etqueta de costado </t>
  </si>
  <si>
    <t xml:space="preserve">Hacer Boton </t>
  </si>
  <si>
    <t>Espalda</t>
  </si>
  <si>
    <t>Paletones y Armado</t>
  </si>
  <si>
    <t xml:space="preserve">hacer y pegar anillo </t>
  </si>
  <si>
    <t xml:space="preserve">   </t>
  </si>
  <si>
    <t xml:space="preserve">fusionado </t>
  </si>
  <si>
    <t xml:space="preserve">ruedo de frente derecho </t>
  </si>
  <si>
    <t xml:space="preserve">pegar etiqueta de costado </t>
  </si>
  <si>
    <t xml:space="preserve">Puntos en los que el asistente debe dejar las partes recibidas de corte </t>
  </si>
  <si>
    <t xml:space="preserve">Puntos en los que el asistente debe recoger ropa para llevarlo a ensamble </t>
  </si>
  <si>
    <t xml:space="preserve">Punto de armado para espaldas con las etiquetas </t>
  </si>
  <si>
    <t xml:space="preserve">Punto de busqueda de etiquetas </t>
  </si>
  <si>
    <t>Tipo de maquina</t>
  </si>
  <si>
    <t xml:space="preserve">Operación </t>
  </si>
  <si>
    <t xml:space="preserve">Estado </t>
  </si>
  <si>
    <t>puño y cuello</t>
  </si>
  <si>
    <t>mangas</t>
  </si>
  <si>
    <t>ensable 1 y 2</t>
  </si>
  <si>
    <t>frentes</t>
  </si>
  <si>
    <t>espalda</t>
  </si>
  <si>
    <t>pantalones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</si>
</sst>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2" xfId="0" applyFill="1" applyBorder="1"/>
    <xf numFmtId="0" fontId="0" fillId="0" borderId="1" xfId="0" applyBorder="1"/>
    <xf numFmtId="0" fontId="0" fillId="0" borderId="3" xfId="0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4" borderId="1" xfId="0" applyFill="1" applyBorder="1"/>
    <xf numFmtId="0" fontId="0" fillId="11" borderId="0" xfId="0" applyFill="1"/>
    <xf numFmtId="0" fontId="0" fillId="5" borderId="0" xfId="0" applyFill="1"/>
    <xf numFmtId="0" fontId="0" fillId="4" borderId="0" xfId="0" applyFill="1"/>
    <xf numFmtId="0" fontId="0" fillId="12" borderId="0" xfId="0" applyFill="1"/>
    <xf numFmtId="0" fontId="0" fillId="7" borderId="0" xfId="0" applyFill="1"/>
    <xf numFmtId="0" fontId="0" fillId="13" borderId="0" xfId="0" applyFill="1"/>
    <xf numFmtId="0" fontId="0" fillId="14" borderId="0" xfId="0" applyFill="1"/>
    <xf numFmtId="0" fontId="0" fillId="0" borderId="4" xfId="0" applyBorder="1"/>
    <xf numFmtId="0" fontId="0" fillId="15" borderId="1" xfId="0" applyFill="1" applyBorder="1"/>
    <xf numFmtId="0" fontId="0" fillId="3" borderId="1" xfId="0" applyFill="1" applyBorder="1"/>
    <xf numFmtId="0" fontId="0" fillId="11" borderId="1" xfId="0" applyFill="1" applyBorder="1"/>
    <xf numFmtId="0" fontId="0" fillId="0" borderId="5" xfId="0" applyBorder="1"/>
    <xf numFmtId="0" fontId="0" fillId="4" borderId="5" xfId="0" applyFill="1" applyBorder="1"/>
    <xf numFmtId="0" fontId="0" fillId="0" borderId="6" xfId="0" applyBorder="1"/>
    <xf numFmtId="0" fontId="0" fillId="15" borderId="0" xfId="0" applyFill="1"/>
    <xf numFmtId="0" fontId="1" fillId="0" borderId="1" xfId="0" applyFont="1" applyBorder="1"/>
    <xf numFmtId="10" fontId="0" fillId="0" borderId="0" xfId="1" applyNumberFormat="1" applyFont="1"/>
    <xf numFmtId="10" fontId="0" fillId="0" borderId="1" xfId="1" applyNumberFormat="1" applyFont="1" applyBorder="1"/>
    <xf numFmtId="10" fontId="0" fillId="0" borderId="0" xfId="1" applyNumberFormat="1" applyFont="1" applyFill="1" applyBorder="1"/>
    <xf numFmtId="9" fontId="0" fillId="0" borderId="1" xfId="1" applyFont="1" applyBorder="1"/>
    <xf numFmtId="9" fontId="0" fillId="0" borderId="4" xfId="1" applyFont="1" applyFill="1" applyBorder="1"/>
    <xf numFmtId="9" fontId="0" fillId="0" borderId="7" xfId="1" applyFont="1" applyBorder="1"/>
    <xf numFmtId="0" fontId="0" fillId="7" borderId="0" xfId="0" applyFill="1" applyAlignment="1">
      <alignment wrapText="1"/>
    </xf>
    <xf numFmtId="0" fontId="0" fillId="0" borderId="0" xfId="0" applyAlignment="1">
      <alignment wrapText="1"/>
    </xf>
    <xf numFmtId="10" fontId="0" fillId="0" borderId="1" xfId="1" applyNumberFormat="1" applyFont="1" applyFill="1" applyBorder="1"/>
    <xf numFmtId="0" fontId="0" fillId="0" borderId="1" xfId="0" applyBorder="1" applyAlignment="1">
      <alignment wrapText="1"/>
    </xf>
    <xf numFmtId="0" fontId="0" fillId="10" borderId="4" xfId="0" applyFill="1" applyBorder="1"/>
    <xf numFmtId="0" fontId="0" fillId="14" borderId="1" xfId="0" applyFill="1" applyBorder="1"/>
    <xf numFmtId="0" fontId="0" fillId="16" borderId="1" xfId="0" applyFill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9" fontId="0" fillId="0" borderId="8" xfId="1" applyFont="1" applyFill="1" applyBorder="1"/>
    <xf numFmtId="9" fontId="0" fillId="0" borderId="9" xfId="1" applyFont="1" applyFill="1" applyBorder="1"/>
    <xf numFmtId="9" fontId="0" fillId="0" borderId="1" xfId="1" applyFont="1" applyFill="1" applyBorder="1"/>
    <xf numFmtId="9" fontId="0" fillId="0" borderId="3" xfId="1" applyFont="1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18"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516854</xdr:colOff>
      <xdr:row>8</xdr:row>
      <xdr:rowOff>173583</xdr:rowOff>
    </xdr:from>
    <xdr:to>
      <xdr:col>23</xdr:col>
      <xdr:colOff>312613</xdr:colOff>
      <xdr:row>27</xdr:row>
      <xdr:rowOff>149491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6C602D-4102-9DF6-A807-E2DC07F1C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09398" y="1636623"/>
          <a:ext cx="5343119" cy="34506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</xdr:colOff>
      <xdr:row>16</xdr:row>
      <xdr:rowOff>98612</xdr:rowOff>
    </xdr:from>
    <xdr:to>
      <xdr:col>2</xdr:col>
      <xdr:colOff>708212</xdr:colOff>
      <xdr:row>16</xdr:row>
      <xdr:rowOff>114300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7DB5E1BE-8FA5-7CF9-C2A2-96D7C78E3D87}"/>
            </a:ext>
          </a:extLst>
        </xdr:cNvPr>
        <xdr:cNvCxnSpPr/>
      </xdr:nvCxnSpPr>
      <xdr:spPr>
        <a:xfrm flipV="1">
          <a:off x="3394486" y="2967318"/>
          <a:ext cx="639632" cy="1568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24205</xdr:colOff>
      <xdr:row>10</xdr:row>
      <xdr:rowOff>121920</xdr:rowOff>
    </xdr:from>
    <xdr:to>
      <xdr:col>2</xdr:col>
      <xdr:colOff>786205</xdr:colOff>
      <xdr:row>13</xdr:row>
      <xdr:rowOff>99060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529D8DA1-14B9-478F-9310-DCF781E9C8DB}"/>
            </a:ext>
          </a:extLst>
        </xdr:cNvPr>
        <xdr:cNvCxnSpPr/>
      </xdr:nvCxnSpPr>
      <xdr:spPr>
        <a:xfrm flipV="1">
          <a:off x="3350111" y="1914861"/>
          <a:ext cx="762000" cy="51502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107128</xdr:colOff>
      <xdr:row>13</xdr:row>
      <xdr:rowOff>177949</xdr:rowOff>
    </xdr:from>
    <xdr:to>
      <xdr:col>5</xdr:col>
      <xdr:colOff>26894</xdr:colOff>
      <xdr:row>16</xdr:row>
      <xdr:rowOff>116989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441934CF-E562-4651-B309-38117B55B20F}"/>
            </a:ext>
          </a:extLst>
        </xdr:cNvPr>
        <xdr:cNvCxnSpPr/>
      </xdr:nvCxnSpPr>
      <xdr:spPr>
        <a:xfrm flipV="1">
          <a:off x="6077622" y="2508773"/>
          <a:ext cx="708660" cy="47692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47065</xdr:colOff>
      <xdr:row>10</xdr:row>
      <xdr:rowOff>56926</xdr:rowOff>
    </xdr:from>
    <xdr:to>
      <xdr:col>4</xdr:col>
      <xdr:colOff>778585</xdr:colOff>
      <xdr:row>13</xdr:row>
      <xdr:rowOff>64546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F1C18C66-8A27-4527-8A33-30680EABDF59}"/>
            </a:ext>
          </a:extLst>
        </xdr:cNvPr>
        <xdr:cNvCxnSpPr/>
      </xdr:nvCxnSpPr>
      <xdr:spPr>
        <a:xfrm>
          <a:off x="6017559" y="1849867"/>
          <a:ext cx="731520" cy="54550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41687</xdr:colOff>
      <xdr:row>13</xdr:row>
      <xdr:rowOff>90095</xdr:rowOff>
    </xdr:from>
    <xdr:to>
      <xdr:col>6</xdr:col>
      <xdr:colOff>750347</xdr:colOff>
      <xdr:row>13</xdr:row>
      <xdr:rowOff>105335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377E3FCD-8564-4CD4-B8A1-08E7A602F133}"/>
            </a:ext>
          </a:extLst>
        </xdr:cNvPr>
        <xdr:cNvCxnSpPr/>
      </xdr:nvCxnSpPr>
      <xdr:spPr>
        <a:xfrm flipV="1">
          <a:off x="8351969" y="2420919"/>
          <a:ext cx="708660" cy="1524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4931</xdr:colOff>
      <xdr:row>13</xdr:row>
      <xdr:rowOff>88751</xdr:rowOff>
    </xdr:from>
    <xdr:to>
      <xdr:col>8</xdr:col>
      <xdr:colOff>766931</xdr:colOff>
      <xdr:row>16</xdr:row>
      <xdr:rowOff>73511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A45F8245-C07C-4679-AE90-038526AA6B61}"/>
            </a:ext>
          </a:extLst>
        </xdr:cNvPr>
        <xdr:cNvCxnSpPr/>
      </xdr:nvCxnSpPr>
      <xdr:spPr>
        <a:xfrm>
          <a:off x="10771543" y="2419575"/>
          <a:ext cx="762000" cy="52264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83820</xdr:colOff>
      <xdr:row>15</xdr:row>
      <xdr:rowOff>99060</xdr:rowOff>
    </xdr:from>
    <xdr:to>
      <xdr:col>10</xdr:col>
      <xdr:colOff>716280</xdr:colOff>
      <xdr:row>16</xdr:row>
      <xdr:rowOff>99060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83CE89D4-ED0B-4540-AC69-233344A6FF70}"/>
            </a:ext>
          </a:extLst>
        </xdr:cNvPr>
        <xdr:cNvCxnSpPr/>
      </xdr:nvCxnSpPr>
      <xdr:spPr>
        <a:xfrm flipV="1">
          <a:off x="13163326" y="2788472"/>
          <a:ext cx="632460" cy="17929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51995</xdr:colOff>
      <xdr:row>16</xdr:row>
      <xdr:rowOff>152400</xdr:rowOff>
    </xdr:from>
    <xdr:to>
      <xdr:col>10</xdr:col>
      <xdr:colOff>714935</xdr:colOff>
      <xdr:row>17</xdr:row>
      <xdr:rowOff>76200</xdr:rowOff>
    </xdr:to>
    <xdr:cxnSp macro="">
      <xdr:nvCxnSpPr>
        <xdr:cNvPr id="24" name="Conector recto de flecha 23">
          <a:extLst>
            <a:ext uri="{FF2B5EF4-FFF2-40B4-BE49-F238E27FC236}">
              <a16:creationId xmlns:a16="http://schemas.microsoft.com/office/drawing/2014/main" id="{695A994E-1C5A-4D98-817D-50D9468EBDEF}"/>
            </a:ext>
          </a:extLst>
        </xdr:cNvPr>
        <xdr:cNvCxnSpPr/>
      </xdr:nvCxnSpPr>
      <xdr:spPr>
        <a:xfrm>
          <a:off x="13131501" y="3021106"/>
          <a:ext cx="662940" cy="10309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1808181</xdr:colOff>
      <xdr:row>11</xdr:row>
      <xdr:rowOff>175259</xdr:rowOff>
    </xdr:from>
    <xdr:to>
      <xdr:col>15</xdr:col>
      <xdr:colOff>242047</xdr:colOff>
      <xdr:row>12</xdr:row>
      <xdr:rowOff>11205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86F03BD1-6C6E-4DB3-6DE8-F5800DACF234}"/>
            </a:ext>
          </a:extLst>
        </xdr:cNvPr>
        <xdr:cNvCxnSpPr/>
      </xdr:nvCxnSpPr>
      <xdr:spPr>
        <a:xfrm>
          <a:off x="1808181" y="2147494"/>
          <a:ext cx="14740666" cy="15240"/>
        </a:xfrm>
        <a:prstGeom prst="line">
          <a:avLst/>
        </a:prstGeom>
        <a:ln>
          <a:prstDash val="sys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</xdr:colOff>
      <xdr:row>17</xdr:row>
      <xdr:rowOff>175260</xdr:rowOff>
    </xdr:from>
    <xdr:to>
      <xdr:col>14</xdr:col>
      <xdr:colOff>22860</xdr:colOff>
      <xdr:row>18</xdr:row>
      <xdr:rowOff>7620</xdr:rowOff>
    </xdr:to>
    <xdr:cxnSp macro="">
      <xdr:nvCxnSpPr>
        <xdr:cNvPr id="32" name="Conector recto 31">
          <a:extLst>
            <a:ext uri="{FF2B5EF4-FFF2-40B4-BE49-F238E27FC236}">
              <a16:creationId xmlns:a16="http://schemas.microsoft.com/office/drawing/2014/main" id="{3A9F8623-D77B-4172-BC25-F1C68565291D}"/>
            </a:ext>
          </a:extLst>
        </xdr:cNvPr>
        <xdr:cNvCxnSpPr/>
      </xdr:nvCxnSpPr>
      <xdr:spPr>
        <a:xfrm>
          <a:off x="800100" y="3284220"/>
          <a:ext cx="12428220" cy="15240"/>
        </a:xfrm>
        <a:prstGeom prst="line">
          <a:avLst/>
        </a:prstGeom>
        <a:ln>
          <a:prstDash val="sys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9</xdr:row>
      <xdr:rowOff>0</xdr:rowOff>
    </xdr:from>
    <xdr:to>
      <xdr:col>14</xdr:col>
      <xdr:colOff>15240</xdr:colOff>
      <xdr:row>9</xdr:row>
      <xdr:rowOff>15240</xdr:rowOff>
    </xdr:to>
    <xdr:cxnSp macro="">
      <xdr:nvCxnSpPr>
        <xdr:cNvPr id="38" name="Conector recto 37">
          <a:extLst>
            <a:ext uri="{FF2B5EF4-FFF2-40B4-BE49-F238E27FC236}">
              <a16:creationId xmlns:a16="http://schemas.microsoft.com/office/drawing/2014/main" id="{E4A9FD13-9762-4768-9B79-78F79E063A07}"/>
            </a:ext>
          </a:extLst>
        </xdr:cNvPr>
        <xdr:cNvCxnSpPr/>
      </xdr:nvCxnSpPr>
      <xdr:spPr>
        <a:xfrm>
          <a:off x="792480" y="1645920"/>
          <a:ext cx="12428220" cy="15240"/>
        </a:xfrm>
        <a:prstGeom prst="line">
          <a:avLst/>
        </a:prstGeom>
        <a:ln>
          <a:prstDash val="sys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8964</xdr:colOff>
      <xdr:row>14</xdr:row>
      <xdr:rowOff>160020</xdr:rowOff>
    </xdr:from>
    <xdr:to>
      <xdr:col>14</xdr:col>
      <xdr:colOff>24204</xdr:colOff>
      <xdr:row>14</xdr:row>
      <xdr:rowOff>175260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D32AB077-CA02-45F8-8EC7-6A354B3EE4CE}"/>
            </a:ext>
          </a:extLst>
        </xdr:cNvPr>
        <xdr:cNvCxnSpPr/>
      </xdr:nvCxnSpPr>
      <xdr:spPr>
        <a:xfrm>
          <a:off x="1855693" y="2670138"/>
          <a:ext cx="14564958" cy="15240"/>
        </a:xfrm>
        <a:prstGeom prst="line">
          <a:avLst/>
        </a:prstGeom>
        <a:ln>
          <a:prstDash val="sys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83820</xdr:rowOff>
    </xdr:from>
    <xdr:to>
      <xdr:col>2</xdr:col>
      <xdr:colOff>784860</xdr:colOff>
      <xdr:row>21</xdr:row>
      <xdr:rowOff>99060</xdr:rowOff>
    </xdr:to>
    <xdr:cxnSp macro="">
      <xdr:nvCxnSpPr>
        <xdr:cNvPr id="46" name="Conector recto de flecha 45">
          <a:extLst>
            <a:ext uri="{FF2B5EF4-FFF2-40B4-BE49-F238E27FC236}">
              <a16:creationId xmlns:a16="http://schemas.microsoft.com/office/drawing/2014/main" id="{D28F6C1D-5E28-4D82-A3FE-C49ECCCFA9FE}"/>
            </a:ext>
          </a:extLst>
        </xdr:cNvPr>
        <xdr:cNvCxnSpPr/>
      </xdr:nvCxnSpPr>
      <xdr:spPr>
        <a:xfrm flipV="1">
          <a:off x="2019300" y="3924300"/>
          <a:ext cx="784860" cy="1524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53340</xdr:colOff>
      <xdr:row>21</xdr:row>
      <xdr:rowOff>106680</xdr:rowOff>
    </xdr:from>
    <xdr:to>
      <xdr:col>5</xdr:col>
      <xdr:colOff>7620</xdr:colOff>
      <xdr:row>21</xdr:row>
      <xdr:rowOff>106680</xdr:rowOff>
    </xdr:to>
    <xdr:cxnSp macro="">
      <xdr:nvCxnSpPr>
        <xdr:cNvPr id="48" name="Conector recto de flecha 47">
          <a:extLst>
            <a:ext uri="{FF2B5EF4-FFF2-40B4-BE49-F238E27FC236}">
              <a16:creationId xmlns:a16="http://schemas.microsoft.com/office/drawing/2014/main" id="{4647CEF0-B3A6-4F75-8BF0-CFFA13000B62}"/>
            </a:ext>
          </a:extLst>
        </xdr:cNvPr>
        <xdr:cNvCxnSpPr/>
      </xdr:nvCxnSpPr>
      <xdr:spPr>
        <a:xfrm>
          <a:off x="4213860" y="3947160"/>
          <a:ext cx="74676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30480</xdr:colOff>
      <xdr:row>21</xdr:row>
      <xdr:rowOff>83820</xdr:rowOff>
    </xdr:from>
    <xdr:to>
      <xdr:col>11</xdr:col>
      <xdr:colOff>7620</xdr:colOff>
      <xdr:row>21</xdr:row>
      <xdr:rowOff>83820</xdr:rowOff>
    </xdr:to>
    <xdr:cxnSp macro="">
      <xdr:nvCxnSpPr>
        <xdr:cNvPr id="49" name="Conector recto de flecha 48">
          <a:extLst>
            <a:ext uri="{FF2B5EF4-FFF2-40B4-BE49-F238E27FC236}">
              <a16:creationId xmlns:a16="http://schemas.microsoft.com/office/drawing/2014/main" id="{CC2753B8-39ED-47CD-8690-34FE4749CC23}"/>
            </a:ext>
          </a:extLst>
        </xdr:cNvPr>
        <xdr:cNvCxnSpPr/>
      </xdr:nvCxnSpPr>
      <xdr:spPr>
        <a:xfrm>
          <a:off x="5775960" y="3924300"/>
          <a:ext cx="86868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</xdr:colOff>
      <xdr:row>25</xdr:row>
      <xdr:rowOff>99060</xdr:rowOff>
    </xdr:from>
    <xdr:to>
      <xdr:col>2</xdr:col>
      <xdr:colOff>777240</xdr:colOff>
      <xdr:row>25</xdr:row>
      <xdr:rowOff>114300</xdr:rowOff>
    </xdr:to>
    <xdr:cxnSp macro="">
      <xdr:nvCxnSpPr>
        <xdr:cNvPr id="53" name="Conector recto de flecha 52">
          <a:extLst>
            <a:ext uri="{FF2B5EF4-FFF2-40B4-BE49-F238E27FC236}">
              <a16:creationId xmlns:a16="http://schemas.microsoft.com/office/drawing/2014/main" id="{CAD7BCAC-495F-47A5-9330-14EF33A706AB}"/>
            </a:ext>
          </a:extLst>
        </xdr:cNvPr>
        <xdr:cNvCxnSpPr/>
      </xdr:nvCxnSpPr>
      <xdr:spPr>
        <a:xfrm flipV="1">
          <a:off x="2049780" y="4671060"/>
          <a:ext cx="746760" cy="1524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</xdr:colOff>
      <xdr:row>25</xdr:row>
      <xdr:rowOff>106680</xdr:rowOff>
    </xdr:from>
    <xdr:to>
      <xdr:col>5</xdr:col>
      <xdr:colOff>0</xdr:colOff>
      <xdr:row>25</xdr:row>
      <xdr:rowOff>106680</xdr:rowOff>
    </xdr:to>
    <xdr:cxnSp macro="">
      <xdr:nvCxnSpPr>
        <xdr:cNvPr id="54" name="Conector recto de flecha 53">
          <a:extLst>
            <a:ext uri="{FF2B5EF4-FFF2-40B4-BE49-F238E27FC236}">
              <a16:creationId xmlns:a16="http://schemas.microsoft.com/office/drawing/2014/main" id="{41978AF8-CBBF-46F1-A868-938D7330B231}"/>
            </a:ext>
          </a:extLst>
        </xdr:cNvPr>
        <xdr:cNvCxnSpPr/>
      </xdr:nvCxnSpPr>
      <xdr:spPr>
        <a:xfrm>
          <a:off x="4716780" y="4678680"/>
          <a:ext cx="74676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25</xdr:row>
      <xdr:rowOff>91440</xdr:rowOff>
    </xdr:from>
    <xdr:to>
      <xdr:col>6</xdr:col>
      <xdr:colOff>876300</xdr:colOff>
      <xdr:row>25</xdr:row>
      <xdr:rowOff>91440</xdr:rowOff>
    </xdr:to>
    <xdr:cxnSp macro="">
      <xdr:nvCxnSpPr>
        <xdr:cNvPr id="55" name="Conector recto de flecha 54">
          <a:extLst>
            <a:ext uri="{FF2B5EF4-FFF2-40B4-BE49-F238E27FC236}">
              <a16:creationId xmlns:a16="http://schemas.microsoft.com/office/drawing/2014/main" id="{BA3683E9-0755-4AB2-B5DA-225411D5B8C9}"/>
            </a:ext>
          </a:extLst>
        </xdr:cNvPr>
        <xdr:cNvCxnSpPr/>
      </xdr:nvCxnSpPr>
      <xdr:spPr>
        <a:xfrm>
          <a:off x="6416040" y="4663440"/>
          <a:ext cx="86868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</xdr:colOff>
      <xdr:row>25</xdr:row>
      <xdr:rowOff>83820</xdr:rowOff>
    </xdr:from>
    <xdr:to>
      <xdr:col>8</xdr:col>
      <xdr:colOff>739140</xdr:colOff>
      <xdr:row>25</xdr:row>
      <xdr:rowOff>91440</xdr:rowOff>
    </xdr:to>
    <xdr:cxnSp macro="">
      <xdr:nvCxnSpPr>
        <xdr:cNvPr id="56" name="Conector recto de flecha 55">
          <a:extLst>
            <a:ext uri="{FF2B5EF4-FFF2-40B4-BE49-F238E27FC236}">
              <a16:creationId xmlns:a16="http://schemas.microsoft.com/office/drawing/2014/main" id="{57F3FC62-67D4-40B3-AA5E-FDE1FCACCAE1}"/>
            </a:ext>
          </a:extLst>
        </xdr:cNvPr>
        <xdr:cNvCxnSpPr/>
      </xdr:nvCxnSpPr>
      <xdr:spPr>
        <a:xfrm flipV="1">
          <a:off x="8648700" y="4655820"/>
          <a:ext cx="6934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83820</xdr:colOff>
      <xdr:row>25</xdr:row>
      <xdr:rowOff>114300</xdr:rowOff>
    </xdr:from>
    <xdr:to>
      <xdr:col>10</xdr:col>
      <xdr:colOff>735106</xdr:colOff>
      <xdr:row>26</xdr:row>
      <xdr:rowOff>134471</xdr:rowOff>
    </xdr:to>
    <xdr:cxnSp macro="">
      <xdr:nvCxnSpPr>
        <xdr:cNvPr id="58" name="Conector recto de flecha 57">
          <a:extLst>
            <a:ext uri="{FF2B5EF4-FFF2-40B4-BE49-F238E27FC236}">
              <a16:creationId xmlns:a16="http://schemas.microsoft.com/office/drawing/2014/main" id="{9AED16A7-6EB8-4AEB-A84B-04C32309C993}"/>
            </a:ext>
          </a:extLst>
        </xdr:cNvPr>
        <xdr:cNvCxnSpPr/>
      </xdr:nvCxnSpPr>
      <xdr:spPr>
        <a:xfrm>
          <a:off x="13468126" y="4596653"/>
          <a:ext cx="651286" cy="19946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98612</xdr:colOff>
      <xdr:row>25</xdr:row>
      <xdr:rowOff>83820</xdr:rowOff>
    </xdr:from>
    <xdr:to>
      <xdr:col>12</xdr:col>
      <xdr:colOff>762000</xdr:colOff>
      <xdr:row>26</xdr:row>
      <xdr:rowOff>224118</xdr:rowOff>
    </xdr:to>
    <xdr:cxnSp macro="">
      <xdr:nvCxnSpPr>
        <xdr:cNvPr id="59" name="Conector recto de flecha 58">
          <a:extLst>
            <a:ext uri="{FF2B5EF4-FFF2-40B4-BE49-F238E27FC236}">
              <a16:creationId xmlns:a16="http://schemas.microsoft.com/office/drawing/2014/main" id="{DCB88FBA-B3AA-4557-9450-219AFB87FCC4}"/>
            </a:ext>
          </a:extLst>
        </xdr:cNvPr>
        <xdr:cNvCxnSpPr/>
      </xdr:nvCxnSpPr>
      <xdr:spPr>
        <a:xfrm flipV="1">
          <a:off x="15822706" y="4566173"/>
          <a:ext cx="663388" cy="31959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</xdr:colOff>
      <xdr:row>25</xdr:row>
      <xdr:rowOff>106680</xdr:rowOff>
    </xdr:from>
    <xdr:to>
      <xdr:col>16</xdr:col>
      <xdr:colOff>726141</xdr:colOff>
      <xdr:row>26</xdr:row>
      <xdr:rowOff>233082</xdr:rowOff>
    </xdr:to>
    <xdr:cxnSp macro="">
      <xdr:nvCxnSpPr>
        <xdr:cNvPr id="60" name="Conector recto de flecha 59">
          <a:extLst>
            <a:ext uri="{FF2B5EF4-FFF2-40B4-BE49-F238E27FC236}">
              <a16:creationId xmlns:a16="http://schemas.microsoft.com/office/drawing/2014/main" id="{7D91837C-8C48-463D-8838-0D019D353571}"/>
            </a:ext>
          </a:extLst>
        </xdr:cNvPr>
        <xdr:cNvCxnSpPr/>
      </xdr:nvCxnSpPr>
      <xdr:spPr>
        <a:xfrm>
          <a:off x="17553791" y="4589033"/>
          <a:ext cx="2446468" cy="30569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29</xdr:row>
      <xdr:rowOff>83820</xdr:rowOff>
    </xdr:from>
    <xdr:to>
      <xdr:col>2</xdr:col>
      <xdr:colOff>769620</xdr:colOff>
      <xdr:row>29</xdr:row>
      <xdr:rowOff>91440</xdr:rowOff>
    </xdr:to>
    <xdr:cxnSp macro="">
      <xdr:nvCxnSpPr>
        <xdr:cNvPr id="64" name="Conector recto de flecha 63">
          <a:extLst>
            <a:ext uri="{FF2B5EF4-FFF2-40B4-BE49-F238E27FC236}">
              <a16:creationId xmlns:a16="http://schemas.microsoft.com/office/drawing/2014/main" id="{7E148341-F541-4C51-A4B1-AE13D73A8E4B}"/>
            </a:ext>
          </a:extLst>
        </xdr:cNvPr>
        <xdr:cNvCxnSpPr/>
      </xdr:nvCxnSpPr>
      <xdr:spPr>
        <a:xfrm flipV="1">
          <a:off x="2057400" y="5387340"/>
          <a:ext cx="7315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</xdr:colOff>
      <xdr:row>29</xdr:row>
      <xdr:rowOff>108025</xdr:rowOff>
    </xdr:from>
    <xdr:to>
      <xdr:col>4</xdr:col>
      <xdr:colOff>777240</xdr:colOff>
      <xdr:row>29</xdr:row>
      <xdr:rowOff>115645</xdr:rowOff>
    </xdr:to>
    <xdr:cxnSp macro="">
      <xdr:nvCxnSpPr>
        <xdr:cNvPr id="66" name="Conector recto de flecha 65">
          <a:extLst>
            <a:ext uri="{FF2B5EF4-FFF2-40B4-BE49-F238E27FC236}">
              <a16:creationId xmlns:a16="http://schemas.microsoft.com/office/drawing/2014/main" id="{5C012FA1-7F20-4158-BE23-7ECE3D9BC9C9}"/>
            </a:ext>
          </a:extLst>
        </xdr:cNvPr>
        <xdr:cNvCxnSpPr/>
      </xdr:nvCxnSpPr>
      <xdr:spPr>
        <a:xfrm flipV="1">
          <a:off x="6016214" y="5307554"/>
          <a:ext cx="7315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49754</xdr:colOff>
      <xdr:row>16</xdr:row>
      <xdr:rowOff>129988</xdr:rowOff>
    </xdr:from>
    <xdr:to>
      <xdr:col>12</xdr:col>
      <xdr:colOff>781274</xdr:colOff>
      <xdr:row>17</xdr:row>
      <xdr:rowOff>137608</xdr:rowOff>
    </xdr:to>
    <xdr:cxnSp macro="">
      <xdr:nvCxnSpPr>
        <xdr:cNvPr id="70" name="Conector recto de flecha 69">
          <a:extLst>
            <a:ext uri="{FF2B5EF4-FFF2-40B4-BE49-F238E27FC236}">
              <a16:creationId xmlns:a16="http://schemas.microsoft.com/office/drawing/2014/main" id="{5C8C21C1-3AE8-40B0-95AD-8517D9958112}"/>
            </a:ext>
          </a:extLst>
        </xdr:cNvPr>
        <xdr:cNvCxnSpPr/>
      </xdr:nvCxnSpPr>
      <xdr:spPr>
        <a:xfrm flipV="1">
          <a:off x="14868413" y="2998694"/>
          <a:ext cx="731520" cy="18691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15240</xdr:colOff>
      <xdr:row>15</xdr:row>
      <xdr:rowOff>72166</xdr:rowOff>
    </xdr:from>
    <xdr:to>
      <xdr:col>12</xdr:col>
      <xdr:colOff>746760</xdr:colOff>
      <xdr:row>16</xdr:row>
      <xdr:rowOff>64546</xdr:rowOff>
    </xdr:to>
    <xdr:cxnSp macro="">
      <xdr:nvCxnSpPr>
        <xdr:cNvPr id="72" name="Conector recto de flecha 71">
          <a:extLst>
            <a:ext uri="{FF2B5EF4-FFF2-40B4-BE49-F238E27FC236}">
              <a16:creationId xmlns:a16="http://schemas.microsoft.com/office/drawing/2014/main" id="{E7DDF061-6F7C-4623-9F77-8F14AD4945F5}"/>
            </a:ext>
          </a:extLst>
        </xdr:cNvPr>
        <xdr:cNvCxnSpPr/>
      </xdr:nvCxnSpPr>
      <xdr:spPr>
        <a:xfrm>
          <a:off x="14833899" y="2761578"/>
          <a:ext cx="731520" cy="17167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224118</xdr:colOff>
      <xdr:row>21</xdr:row>
      <xdr:rowOff>83820</xdr:rowOff>
    </xdr:from>
    <xdr:to>
      <xdr:col>16</xdr:col>
      <xdr:colOff>693420</xdr:colOff>
      <xdr:row>21</xdr:row>
      <xdr:rowOff>98612</xdr:rowOff>
    </xdr:to>
    <xdr:cxnSp macro="">
      <xdr:nvCxnSpPr>
        <xdr:cNvPr id="74" name="Conector recto de flecha 73">
          <a:extLst>
            <a:ext uri="{FF2B5EF4-FFF2-40B4-BE49-F238E27FC236}">
              <a16:creationId xmlns:a16="http://schemas.microsoft.com/office/drawing/2014/main" id="{8FE59D0C-BD13-46E1-8256-69D8F22EA6F9}"/>
            </a:ext>
          </a:extLst>
        </xdr:cNvPr>
        <xdr:cNvCxnSpPr/>
      </xdr:nvCxnSpPr>
      <xdr:spPr>
        <a:xfrm flipV="1">
          <a:off x="15544800" y="3848996"/>
          <a:ext cx="4019326" cy="1479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76200</xdr:colOff>
      <xdr:row>21</xdr:row>
      <xdr:rowOff>99060</xdr:rowOff>
    </xdr:from>
    <xdr:to>
      <xdr:col>18</xdr:col>
      <xdr:colOff>769620</xdr:colOff>
      <xdr:row>21</xdr:row>
      <xdr:rowOff>106680</xdr:rowOff>
    </xdr:to>
    <xdr:cxnSp macro="">
      <xdr:nvCxnSpPr>
        <xdr:cNvPr id="76" name="Conector recto de flecha 75">
          <a:extLst>
            <a:ext uri="{FF2B5EF4-FFF2-40B4-BE49-F238E27FC236}">
              <a16:creationId xmlns:a16="http://schemas.microsoft.com/office/drawing/2014/main" id="{20511A58-CAF0-4491-A530-4A3EEB6590C2}"/>
            </a:ext>
          </a:extLst>
        </xdr:cNvPr>
        <xdr:cNvCxnSpPr/>
      </xdr:nvCxnSpPr>
      <xdr:spPr>
        <a:xfrm flipV="1">
          <a:off x="17495520" y="3939540"/>
          <a:ext cx="6934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91440</xdr:colOff>
      <xdr:row>21</xdr:row>
      <xdr:rowOff>106680</xdr:rowOff>
    </xdr:from>
    <xdr:to>
      <xdr:col>20</xdr:col>
      <xdr:colOff>784860</xdr:colOff>
      <xdr:row>21</xdr:row>
      <xdr:rowOff>114300</xdr:rowOff>
    </xdr:to>
    <xdr:cxnSp macro="">
      <xdr:nvCxnSpPr>
        <xdr:cNvPr id="77" name="Conector recto de flecha 76">
          <a:extLst>
            <a:ext uri="{FF2B5EF4-FFF2-40B4-BE49-F238E27FC236}">
              <a16:creationId xmlns:a16="http://schemas.microsoft.com/office/drawing/2014/main" id="{E225CF80-9DC0-4DFB-9EF7-831287EB6F09}"/>
            </a:ext>
          </a:extLst>
        </xdr:cNvPr>
        <xdr:cNvCxnSpPr/>
      </xdr:nvCxnSpPr>
      <xdr:spPr>
        <a:xfrm flipV="1">
          <a:off x="19484340" y="3947160"/>
          <a:ext cx="6934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16</xdr:row>
      <xdr:rowOff>99060</xdr:rowOff>
    </xdr:from>
    <xdr:to>
      <xdr:col>16</xdr:col>
      <xdr:colOff>731520</xdr:colOff>
      <xdr:row>16</xdr:row>
      <xdr:rowOff>106680</xdr:rowOff>
    </xdr:to>
    <xdr:cxnSp macro="">
      <xdr:nvCxnSpPr>
        <xdr:cNvPr id="78" name="Conector recto de flecha 77">
          <a:extLst>
            <a:ext uri="{FF2B5EF4-FFF2-40B4-BE49-F238E27FC236}">
              <a16:creationId xmlns:a16="http://schemas.microsoft.com/office/drawing/2014/main" id="{91016D60-3BA5-4F00-848F-B016113B9F12}"/>
            </a:ext>
          </a:extLst>
        </xdr:cNvPr>
        <xdr:cNvCxnSpPr/>
      </xdr:nvCxnSpPr>
      <xdr:spPr>
        <a:xfrm flipV="1">
          <a:off x="16055340" y="3025140"/>
          <a:ext cx="6934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30480</xdr:colOff>
      <xdr:row>16</xdr:row>
      <xdr:rowOff>91440</xdr:rowOff>
    </xdr:from>
    <xdr:to>
      <xdr:col>18</xdr:col>
      <xdr:colOff>723900</xdr:colOff>
      <xdr:row>16</xdr:row>
      <xdr:rowOff>99060</xdr:rowOff>
    </xdr:to>
    <xdr:cxnSp macro="">
      <xdr:nvCxnSpPr>
        <xdr:cNvPr id="79" name="Conector recto de flecha 78">
          <a:extLst>
            <a:ext uri="{FF2B5EF4-FFF2-40B4-BE49-F238E27FC236}">
              <a16:creationId xmlns:a16="http://schemas.microsoft.com/office/drawing/2014/main" id="{F419AEB9-0ED9-4E6C-945A-1D5E9DBD9F57}"/>
            </a:ext>
          </a:extLst>
        </xdr:cNvPr>
        <xdr:cNvCxnSpPr/>
      </xdr:nvCxnSpPr>
      <xdr:spPr>
        <a:xfrm flipV="1">
          <a:off x="17632680" y="3017520"/>
          <a:ext cx="6934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129091</xdr:colOff>
      <xdr:row>26</xdr:row>
      <xdr:rowOff>163157</xdr:rowOff>
    </xdr:from>
    <xdr:to>
      <xdr:col>19</xdr:col>
      <xdr:colOff>33617</xdr:colOff>
      <xdr:row>26</xdr:row>
      <xdr:rowOff>170777</xdr:rowOff>
    </xdr:to>
    <xdr:cxnSp macro="">
      <xdr:nvCxnSpPr>
        <xdr:cNvPr id="81" name="Conector recto de flecha 80">
          <a:extLst>
            <a:ext uri="{FF2B5EF4-FFF2-40B4-BE49-F238E27FC236}">
              <a16:creationId xmlns:a16="http://schemas.microsoft.com/office/drawing/2014/main" id="{0EF70204-B650-49B0-9DA2-2670E3483EBD}"/>
            </a:ext>
          </a:extLst>
        </xdr:cNvPr>
        <xdr:cNvCxnSpPr/>
      </xdr:nvCxnSpPr>
      <xdr:spPr>
        <a:xfrm flipV="1">
          <a:off x="20980997" y="4824804"/>
          <a:ext cx="6934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8964</xdr:colOff>
      <xdr:row>12</xdr:row>
      <xdr:rowOff>68580</xdr:rowOff>
    </xdr:from>
    <xdr:to>
      <xdr:col>22</xdr:col>
      <xdr:colOff>678180</xdr:colOff>
      <xdr:row>13</xdr:row>
      <xdr:rowOff>80682</xdr:rowOff>
    </xdr:to>
    <xdr:cxnSp macro="">
      <xdr:nvCxnSpPr>
        <xdr:cNvPr id="82" name="Conector recto de flecha 81">
          <a:extLst>
            <a:ext uri="{FF2B5EF4-FFF2-40B4-BE49-F238E27FC236}">
              <a16:creationId xmlns:a16="http://schemas.microsoft.com/office/drawing/2014/main" id="{24900E33-3D81-4E22-8B9B-1263053812FC}"/>
            </a:ext>
          </a:extLst>
        </xdr:cNvPr>
        <xdr:cNvCxnSpPr/>
      </xdr:nvCxnSpPr>
      <xdr:spPr>
        <a:xfrm flipV="1">
          <a:off x="10775576" y="2220109"/>
          <a:ext cx="13641145" cy="19139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388620</xdr:colOff>
      <xdr:row>6</xdr:row>
      <xdr:rowOff>175260</xdr:rowOff>
    </xdr:from>
    <xdr:to>
      <xdr:col>16</xdr:col>
      <xdr:colOff>391886</xdr:colOff>
      <xdr:row>28</xdr:row>
      <xdr:rowOff>141514</xdr:rowOff>
    </xdr:to>
    <xdr:cxnSp macro="">
      <xdr:nvCxnSpPr>
        <xdr:cNvPr id="86" name="Conector recto 85">
          <a:extLst>
            <a:ext uri="{FF2B5EF4-FFF2-40B4-BE49-F238E27FC236}">
              <a16:creationId xmlns:a16="http://schemas.microsoft.com/office/drawing/2014/main" id="{0A380B97-07E2-09FF-C50B-23972850FCE6}"/>
            </a:ext>
          </a:extLst>
        </xdr:cNvPr>
        <xdr:cNvCxnSpPr/>
      </xdr:nvCxnSpPr>
      <xdr:spPr>
        <a:xfrm>
          <a:off x="19699877" y="1285603"/>
          <a:ext cx="3266" cy="4222568"/>
        </a:xfrm>
        <a:prstGeom prst="line">
          <a:avLst/>
        </a:prstGeom>
        <a:ln w="57150">
          <a:solidFill>
            <a:srgbClr val="FFFF99"/>
          </a:solidFill>
          <a:prstDash val="sys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342900</xdr:colOff>
      <xdr:row>6</xdr:row>
      <xdr:rowOff>167640</xdr:rowOff>
    </xdr:from>
    <xdr:to>
      <xdr:col>22</xdr:col>
      <xdr:colOff>413657</xdr:colOff>
      <xdr:row>27</xdr:row>
      <xdr:rowOff>32657</xdr:rowOff>
    </xdr:to>
    <xdr:cxnSp macro="">
      <xdr:nvCxnSpPr>
        <xdr:cNvPr id="88" name="Conector recto 87">
          <a:extLst>
            <a:ext uri="{FF2B5EF4-FFF2-40B4-BE49-F238E27FC236}">
              <a16:creationId xmlns:a16="http://schemas.microsoft.com/office/drawing/2014/main" id="{3E71D984-2722-41D5-B22B-599C5CE5AAF3}"/>
            </a:ext>
          </a:extLst>
        </xdr:cNvPr>
        <xdr:cNvCxnSpPr/>
      </xdr:nvCxnSpPr>
      <xdr:spPr>
        <a:xfrm>
          <a:off x="25249414" y="1277983"/>
          <a:ext cx="70757" cy="3936274"/>
        </a:xfrm>
        <a:prstGeom prst="line">
          <a:avLst/>
        </a:prstGeom>
        <a:ln w="57150">
          <a:solidFill>
            <a:srgbClr val="FF0000"/>
          </a:solidFill>
          <a:prstDash val="sys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13</xdr:row>
      <xdr:rowOff>125505</xdr:rowOff>
    </xdr:from>
    <xdr:to>
      <xdr:col>10</xdr:col>
      <xdr:colOff>740229</xdr:colOff>
      <xdr:row>17</xdr:row>
      <xdr:rowOff>141515</xdr:rowOff>
    </xdr:to>
    <xdr:cxnSp macro="">
      <xdr:nvCxnSpPr>
        <xdr:cNvPr id="91" name="Conector recto de flecha 90">
          <a:extLst>
            <a:ext uri="{FF2B5EF4-FFF2-40B4-BE49-F238E27FC236}">
              <a16:creationId xmlns:a16="http://schemas.microsoft.com/office/drawing/2014/main" id="{67EAE2CB-9C52-4E88-852D-5C0E95C0B3C4}"/>
            </a:ext>
          </a:extLst>
        </xdr:cNvPr>
        <xdr:cNvCxnSpPr/>
      </xdr:nvCxnSpPr>
      <xdr:spPr>
        <a:xfrm>
          <a:off x="3320143" y="2531248"/>
          <a:ext cx="10526486" cy="75623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8965</xdr:colOff>
      <xdr:row>13</xdr:row>
      <xdr:rowOff>179293</xdr:rowOff>
    </xdr:from>
    <xdr:to>
      <xdr:col>10</xdr:col>
      <xdr:colOff>779929</xdr:colOff>
      <xdr:row>15</xdr:row>
      <xdr:rowOff>89647</xdr:rowOff>
    </xdr:to>
    <xdr:cxnSp macro="">
      <xdr:nvCxnSpPr>
        <xdr:cNvPr id="94" name="Conector recto de flecha 93">
          <a:extLst>
            <a:ext uri="{FF2B5EF4-FFF2-40B4-BE49-F238E27FC236}">
              <a16:creationId xmlns:a16="http://schemas.microsoft.com/office/drawing/2014/main" id="{36AFA704-FE8D-4194-ADAD-8C994EBCAAA8}"/>
            </a:ext>
          </a:extLst>
        </xdr:cNvPr>
        <xdr:cNvCxnSpPr/>
      </xdr:nvCxnSpPr>
      <xdr:spPr>
        <a:xfrm>
          <a:off x="3334871" y="2510117"/>
          <a:ext cx="10524564" cy="26894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42454</xdr:colOff>
      <xdr:row>16</xdr:row>
      <xdr:rowOff>96884</xdr:rowOff>
    </xdr:from>
    <xdr:to>
      <xdr:col>14</xdr:col>
      <xdr:colOff>735874</xdr:colOff>
      <xdr:row>16</xdr:row>
      <xdr:rowOff>104504</xdr:rowOff>
    </xdr:to>
    <xdr:cxnSp macro="">
      <xdr:nvCxnSpPr>
        <xdr:cNvPr id="96" name="Conector recto de flecha 95">
          <a:extLst>
            <a:ext uri="{FF2B5EF4-FFF2-40B4-BE49-F238E27FC236}">
              <a16:creationId xmlns:a16="http://schemas.microsoft.com/office/drawing/2014/main" id="{E538AD1A-E0A6-4CF2-B125-07BC2DA32ACE}"/>
            </a:ext>
          </a:extLst>
        </xdr:cNvPr>
        <xdr:cNvCxnSpPr/>
      </xdr:nvCxnSpPr>
      <xdr:spPr>
        <a:xfrm flipV="1">
          <a:off x="16686711" y="3057798"/>
          <a:ext cx="6934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1539240</xdr:colOff>
      <xdr:row>21</xdr:row>
      <xdr:rowOff>82476</xdr:rowOff>
    </xdr:from>
    <xdr:to>
      <xdr:col>6</xdr:col>
      <xdr:colOff>857026</xdr:colOff>
      <xdr:row>21</xdr:row>
      <xdr:rowOff>82476</xdr:rowOff>
    </xdr:to>
    <xdr:cxnSp macro="">
      <xdr:nvCxnSpPr>
        <xdr:cNvPr id="100" name="Conector recto de flecha 99">
          <a:extLst>
            <a:ext uri="{FF2B5EF4-FFF2-40B4-BE49-F238E27FC236}">
              <a16:creationId xmlns:a16="http://schemas.microsoft.com/office/drawing/2014/main" id="{4E10567E-5C79-43D4-AD55-A89FE08DBB36}"/>
            </a:ext>
          </a:extLst>
        </xdr:cNvPr>
        <xdr:cNvCxnSpPr/>
      </xdr:nvCxnSpPr>
      <xdr:spPr>
        <a:xfrm>
          <a:off x="8298628" y="3847652"/>
          <a:ext cx="86868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1566134</xdr:colOff>
      <xdr:row>21</xdr:row>
      <xdr:rowOff>100405</xdr:rowOff>
    </xdr:from>
    <xdr:to>
      <xdr:col>9</xdr:col>
      <xdr:colOff>77096</xdr:colOff>
      <xdr:row>21</xdr:row>
      <xdr:rowOff>100405</xdr:rowOff>
    </xdr:to>
    <xdr:cxnSp macro="">
      <xdr:nvCxnSpPr>
        <xdr:cNvPr id="101" name="Conector recto de flecha 100">
          <a:extLst>
            <a:ext uri="{FF2B5EF4-FFF2-40B4-BE49-F238E27FC236}">
              <a16:creationId xmlns:a16="http://schemas.microsoft.com/office/drawing/2014/main" id="{592AE0E0-C004-4EBB-B3F2-46E65671FABB}"/>
            </a:ext>
          </a:extLst>
        </xdr:cNvPr>
        <xdr:cNvCxnSpPr/>
      </xdr:nvCxnSpPr>
      <xdr:spPr>
        <a:xfrm>
          <a:off x="10763922" y="3865581"/>
          <a:ext cx="86868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144332</xdr:colOff>
      <xdr:row>29</xdr:row>
      <xdr:rowOff>99060</xdr:rowOff>
    </xdr:from>
    <xdr:to>
      <xdr:col>6</xdr:col>
      <xdr:colOff>875852</xdr:colOff>
      <xdr:row>29</xdr:row>
      <xdr:rowOff>106680</xdr:rowOff>
    </xdr:to>
    <xdr:cxnSp macro="">
      <xdr:nvCxnSpPr>
        <xdr:cNvPr id="2" name="Conector recto de flecha 1">
          <a:extLst>
            <a:ext uri="{FF2B5EF4-FFF2-40B4-BE49-F238E27FC236}">
              <a16:creationId xmlns:a16="http://schemas.microsoft.com/office/drawing/2014/main" id="{110868DD-9BD4-4FAF-9B17-7F82326482CF}"/>
            </a:ext>
          </a:extLst>
        </xdr:cNvPr>
        <xdr:cNvCxnSpPr/>
      </xdr:nvCxnSpPr>
      <xdr:spPr>
        <a:xfrm flipV="1">
          <a:off x="8454614" y="5298589"/>
          <a:ext cx="7315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176157</xdr:colOff>
      <xdr:row>27</xdr:row>
      <xdr:rowOff>81130</xdr:rowOff>
    </xdr:from>
    <xdr:to>
      <xdr:col>2</xdr:col>
      <xdr:colOff>922917</xdr:colOff>
      <xdr:row>27</xdr:row>
      <xdr:rowOff>96370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59C87DF3-8E55-447A-8E46-FBEAF6B70DF0}"/>
            </a:ext>
          </a:extLst>
        </xdr:cNvPr>
        <xdr:cNvCxnSpPr/>
      </xdr:nvCxnSpPr>
      <xdr:spPr>
        <a:xfrm flipV="1">
          <a:off x="3502063" y="5110330"/>
          <a:ext cx="746760" cy="1524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108921</xdr:colOff>
      <xdr:row>26</xdr:row>
      <xdr:rowOff>251012</xdr:rowOff>
    </xdr:from>
    <xdr:to>
      <xdr:col>10</xdr:col>
      <xdr:colOff>699247</xdr:colOff>
      <xdr:row>27</xdr:row>
      <xdr:rowOff>115644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A8643CF9-6E19-4926-AF92-5E5259540ABC}"/>
            </a:ext>
          </a:extLst>
        </xdr:cNvPr>
        <xdr:cNvCxnSpPr/>
      </xdr:nvCxnSpPr>
      <xdr:spPr>
        <a:xfrm flipV="1">
          <a:off x="6384215" y="4912659"/>
          <a:ext cx="7699338" cy="23218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89647</xdr:colOff>
      <xdr:row>26</xdr:row>
      <xdr:rowOff>224118</xdr:rowOff>
    </xdr:from>
    <xdr:to>
      <xdr:col>12</xdr:col>
      <xdr:colOff>744071</xdr:colOff>
      <xdr:row>27</xdr:row>
      <xdr:rowOff>98612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30F7F5B4-0B25-47F4-9554-1E9208B22803}"/>
            </a:ext>
          </a:extLst>
        </xdr:cNvPr>
        <xdr:cNvCxnSpPr/>
      </xdr:nvCxnSpPr>
      <xdr:spPr>
        <a:xfrm>
          <a:off x="15813741" y="4885765"/>
          <a:ext cx="654424" cy="24204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121920</xdr:colOff>
      <xdr:row>26</xdr:row>
      <xdr:rowOff>277906</xdr:rowOff>
    </xdr:from>
    <xdr:to>
      <xdr:col>16</xdr:col>
      <xdr:colOff>744070</xdr:colOff>
      <xdr:row>27</xdr:row>
      <xdr:rowOff>52891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C89277A0-6A57-4032-973E-2B25B87D02F8}"/>
            </a:ext>
          </a:extLst>
        </xdr:cNvPr>
        <xdr:cNvCxnSpPr/>
      </xdr:nvCxnSpPr>
      <xdr:spPr>
        <a:xfrm flipV="1">
          <a:off x="17629991" y="4939553"/>
          <a:ext cx="2388197" cy="14253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151311</xdr:colOff>
      <xdr:row>20</xdr:row>
      <xdr:rowOff>93617</xdr:rowOff>
    </xdr:from>
    <xdr:to>
      <xdr:col>24</xdr:col>
      <xdr:colOff>844731</xdr:colOff>
      <xdr:row>20</xdr:row>
      <xdr:rowOff>101237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A601B618-11D7-479D-BF6E-C8D8D9A7A828}"/>
            </a:ext>
          </a:extLst>
        </xdr:cNvPr>
        <xdr:cNvCxnSpPr/>
      </xdr:nvCxnSpPr>
      <xdr:spPr>
        <a:xfrm flipV="1">
          <a:off x="26647140" y="3794760"/>
          <a:ext cx="6934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75112</xdr:colOff>
      <xdr:row>20</xdr:row>
      <xdr:rowOff>104503</xdr:rowOff>
    </xdr:from>
    <xdr:to>
      <xdr:col>26</xdr:col>
      <xdr:colOff>768532</xdr:colOff>
      <xdr:row>20</xdr:row>
      <xdr:rowOff>112123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0031C6A1-D58D-4DF5-A9C4-3E67BCC461A4}"/>
            </a:ext>
          </a:extLst>
        </xdr:cNvPr>
        <xdr:cNvCxnSpPr/>
      </xdr:nvCxnSpPr>
      <xdr:spPr>
        <a:xfrm flipV="1">
          <a:off x="28345312" y="3805646"/>
          <a:ext cx="6934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53341</xdr:colOff>
      <xdr:row>20</xdr:row>
      <xdr:rowOff>104503</xdr:rowOff>
    </xdr:from>
    <xdr:to>
      <xdr:col>28</xdr:col>
      <xdr:colOff>746761</xdr:colOff>
      <xdr:row>20</xdr:row>
      <xdr:rowOff>112123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84B20A1A-1BA2-42B8-86FC-99F0A0750834}"/>
            </a:ext>
          </a:extLst>
        </xdr:cNvPr>
        <xdr:cNvCxnSpPr/>
      </xdr:nvCxnSpPr>
      <xdr:spPr>
        <a:xfrm flipV="1">
          <a:off x="29912855" y="3805646"/>
          <a:ext cx="693420" cy="76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162198</xdr:colOff>
      <xdr:row>12</xdr:row>
      <xdr:rowOff>97971</xdr:rowOff>
    </xdr:from>
    <xdr:to>
      <xdr:col>29</xdr:col>
      <xdr:colOff>1197429</xdr:colOff>
      <xdr:row>12</xdr:row>
      <xdr:rowOff>101238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438CA89B-5F4D-442A-B5AE-1F5FF2D1F5EE}"/>
            </a:ext>
          </a:extLst>
        </xdr:cNvPr>
        <xdr:cNvCxnSpPr/>
      </xdr:nvCxnSpPr>
      <xdr:spPr>
        <a:xfrm flipV="1">
          <a:off x="26658027" y="2318657"/>
          <a:ext cx="5193573" cy="326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75112</xdr:colOff>
      <xdr:row>13</xdr:row>
      <xdr:rowOff>108857</xdr:rowOff>
    </xdr:from>
    <xdr:to>
      <xdr:col>30</xdr:col>
      <xdr:colOff>304800</xdr:colOff>
      <xdr:row>20</xdr:row>
      <xdr:rowOff>112123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53B5F54A-F0D1-4176-A61E-A8D7FB71E650}"/>
            </a:ext>
          </a:extLst>
        </xdr:cNvPr>
        <xdr:cNvCxnSpPr/>
      </xdr:nvCxnSpPr>
      <xdr:spPr>
        <a:xfrm flipV="1">
          <a:off x="31992026" y="2514600"/>
          <a:ext cx="229688" cy="129866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229357</xdr:colOff>
      <xdr:row>27</xdr:row>
      <xdr:rowOff>21771</xdr:rowOff>
    </xdr:from>
    <xdr:to>
      <xdr:col>17</xdr:col>
      <xdr:colOff>71995</xdr:colOff>
      <xdr:row>29</xdr:row>
      <xdr:rowOff>128708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2B365BF4-FFFD-4B1A-BFEA-60AD0414466E}"/>
            </a:ext>
          </a:extLst>
        </xdr:cNvPr>
        <xdr:cNvCxnSpPr/>
      </xdr:nvCxnSpPr>
      <xdr:spPr>
        <a:xfrm flipV="1">
          <a:off x="10983948" y="5355771"/>
          <a:ext cx="8571002" cy="48793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221940</xdr:colOff>
      <xdr:row>21</xdr:row>
      <xdr:rowOff>130629</xdr:rowOff>
    </xdr:from>
    <xdr:to>
      <xdr:col>23</xdr:col>
      <xdr:colOff>10886</xdr:colOff>
      <xdr:row>26</xdr:row>
      <xdr:rowOff>303967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E844DD39-6EAC-4D84-AF61-DFC665F07D45}"/>
            </a:ext>
          </a:extLst>
        </xdr:cNvPr>
        <xdr:cNvCxnSpPr/>
      </xdr:nvCxnSpPr>
      <xdr:spPr>
        <a:xfrm flipV="1">
          <a:off x="23103711" y="4016829"/>
          <a:ext cx="2608346" cy="109862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87086</xdr:colOff>
      <xdr:row>20</xdr:row>
      <xdr:rowOff>108857</xdr:rowOff>
    </xdr:from>
    <xdr:to>
      <xdr:col>22</xdr:col>
      <xdr:colOff>740229</xdr:colOff>
      <xdr:row>21</xdr:row>
      <xdr:rowOff>163286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2FD21CDA-0D67-408E-AAC5-6C9E0DBCA11A}"/>
            </a:ext>
          </a:extLst>
        </xdr:cNvPr>
        <xdr:cNvCxnSpPr/>
      </xdr:nvCxnSpPr>
      <xdr:spPr>
        <a:xfrm flipV="1">
          <a:off x="24993600" y="3810000"/>
          <a:ext cx="653143" cy="23948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65314</xdr:colOff>
      <xdr:row>16</xdr:row>
      <xdr:rowOff>119743</xdr:rowOff>
    </xdr:from>
    <xdr:to>
      <xdr:col>22</xdr:col>
      <xdr:colOff>729343</xdr:colOff>
      <xdr:row>20</xdr:row>
      <xdr:rowOff>54428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304866FB-2506-4F96-AB94-769D4A3CE0DD}"/>
            </a:ext>
          </a:extLst>
        </xdr:cNvPr>
        <xdr:cNvCxnSpPr/>
      </xdr:nvCxnSpPr>
      <xdr:spPr>
        <a:xfrm>
          <a:off x="22947085" y="3080657"/>
          <a:ext cx="2688772" cy="67491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3</xdr:row>
      <xdr:rowOff>9524</xdr:rowOff>
    </xdr:from>
    <xdr:to>
      <xdr:col>14</xdr:col>
      <xdr:colOff>505470</xdr:colOff>
      <xdr:row>14</xdr:row>
      <xdr:rowOff>141558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310EA8-1D94-F1D3-090E-8933F388D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581024"/>
          <a:ext cx="10516245" cy="2227534"/>
        </a:xfrm>
        <a:prstGeom prst="rect">
          <a:avLst/>
        </a:prstGeom>
      </xdr:spPr>
    </xdr:pic>
    <xdr:clientData/>
  </xdr:twoCellAnchor>
  <xdr:twoCellAnchor>
    <xdr:from>
      <xdr:col>1</xdr:col>
      <xdr:colOff>341777</xdr:colOff>
      <xdr:row>16</xdr:row>
      <xdr:rowOff>21866</xdr:rowOff>
    </xdr:from>
    <xdr:to>
      <xdr:col>1</xdr:col>
      <xdr:colOff>446552</xdr:colOff>
      <xdr:row>16</xdr:row>
      <xdr:rowOff>155216</xdr:rowOff>
    </xdr:to>
    <xdr:sp macro="" textlink="">
      <xdr:nvSpPr>
        <xdr:cNvPr id="3" name="Estrella: 6 puntas 2">
          <a:extLst>
            <a:ext uri="{FF2B5EF4-FFF2-40B4-BE49-F238E27FC236}">
              <a16:creationId xmlns:a16="http://schemas.microsoft.com/office/drawing/2014/main" id="{328ACF90-1368-D204-815E-89F88C3910AE}"/>
            </a:ext>
          </a:extLst>
        </xdr:cNvPr>
        <xdr:cNvSpPr/>
      </xdr:nvSpPr>
      <xdr:spPr>
        <a:xfrm>
          <a:off x="1103777" y="3069866"/>
          <a:ext cx="104775" cy="133350"/>
        </a:xfrm>
        <a:prstGeom prst="star6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1</xdr:col>
      <xdr:colOff>338218</xdr:colOff>
      <xdr:row>17</xdr:row>
      <xdr:rowOff>35034</xdr:rowOff>
    </xdr:from>
    <xdr:to>
      <xdr:col>1</xdr:col>
      <xdr:colOff>442993</xdr:colOff>
      <xdr:row>17</xdr:row>
      <xdr:rowOff>168384</xdr:rowOff>
    </xdr:to>
    <xdr:sp macro="" textlink="">
      <xdr:nvSpPr>
        <xdr:cNvPr id="4" name="Estrella: 6 puntas 3">
          <a:extLst>
            <a:ext uri="{FF2B5EF4-FFF2-40B4-BE49-F238E27FC236}">
              <a16:creationId xmlns:a16="http://schemas.microsoft.com/office/drawing/2014/main" id="{E92E43FE-F411-43B0-A18F-4FE3B31379C6}"/>
            </a:ext>
          </a:extLst>
        </xdr:cNvPr>
        <xdr:cNvSpPr/>
      </xdr:nvSpPr>
      <xdr:spPr>
        <a:xfrm>
          <a:off x="1100218" y="3273534"/>
          <a:ext cx="104775" cy="133350"/>
        </a:xfrm>
        <a:prstGeom prst="star6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7</xdr:col>
      <xdr:colOff>100013</xdr:colOff>
      <xdr:row>3</xdr:row>
      <xdr:rowOff>169069</xdr:rowOff>
    </xdr:from>
    <xdr:to>
      <xdr:col>7</xdr:col>
      <xdr:colOff>204788</xdr:colOff>
      <xdr:row>4</xdr:row>
      <xdr:rowOff>111919</xdr:rowOff>
    </xdr:to>
    <xdr:sp macro="" textlink="">
      <xdr:nvSpPr>
        <xdr:cNvPr id="5" name="Estrella: 6 puntas 4">
          <a:extLst>
            <a:ext uri="{FF2B5EF4-FFF2-40B4-BE49-F238E27FC236}">
              <a16:creationId xmlns:a16="http://schemas.microsoft.com/office/drawing/2014/main" id="{884D2CE4-8ED3-4817-A769-63E169501CAC}"/>
            </a:ext>
          </a:extLst>
        </xdr:cNvPr>
        <xdr:cNvSpPr/>
      </xdr:nvSpPr>
      <xdr:spPr>
        <a:xfrm>
          <a:off x="5434013" y="740569"/>
          <a:ext cx="104775" cy="133350"/>
        </a:xfrm>
        <a:prstGeom prst="star6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1</xdr:col>
      <xdr:colOff>425053</xdr:colOff>
      <xdr:row>4</xdr:row>
      <xdr:rowOff>101203</xdr:rowOff>
    </xdr:from>
    <xdr:to>
      <xdr:col>1</xdr:col>
      <xdr:colOff>529828</xdr:colOff>
      <xdr:row>5</xdr:row>
      <xdr:rowOff>44053</xdr:rowOff>
    </xdr:to>
    <xdr:sp macro="" textlink="">
      <xdr:nvSpPr>
        <xdr:cNvPr id="6" name="Estrella: 6 puntas 5">
          <a:extLst>
            <a:ext uri="{FF2B5EF4-FFF2-40B4-BE49-F238E27FC236}">
              <a16:creationId xmlns:a16="http://schemas.microsoft.com/office/drawing/2014/main" id="{430311DD-2B07-4D6C-B2C7-92FB1065FC20}"/>
            </a:ext>
          </a:extLst>
        </xdr:cNvPr>
        <xdr:cNvSpPr/>
      </xdr:nvSpPr>
      <xdr:spPr>
        <a:xfrm>
          <a:off x="1187053" y="863203"/>
          <a:ext cx="104775" cy="133350"/>
        </a:xfrm>
        <a:prstGeom prst="star6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3</xdr:col>
      <xdr:colOff>500062</xdr:colOff>
      <xdr:row>4</xdr:row>
      <xdr:rowOff>188119</xdr:rowOff>
    </xdr:from>
    <xdr:to>
      <xdr:col>3</xdr:col>
      <xdr:colOff>604837</xdr:colOff>
      <xdr:row>5</xdr:row>
      <xdr:rowOff>130969</xdr:rowOff>
    </xdr:to>
    <xdr:sp macro="" textlink="">
      <xdr:nvSpPr>
        <xdr:cNvPr id="7" name="Estrella: 6 puntas 6">
          <a:extLst>
            <a:ext uri="{FF2B5EF4-FFF2-40B4-BE49-F238E27FC236}">
              <a16:creationId xmlns:a16="http://schemas.microsoft.com/office/drawing/2014/main" id="{091E80FF-5D30-4EA5-B902-F6D3D998C2EE}"/>
            </a:ext>
          </a:extLst>
        </xdr:cNvPr>
        <xdr:cNvSpPr/>
      </xdr:nvSpPr>
      <xdr:spPr>
        <a:xfrm>
          <a:off x="2786062" y="950119"/>
          <a:ext cx="104775" cy="133350"/>
        </a:xfrm>
        <a:prstGeom prst="star6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1</xdr:col>
      <xdr:colOff>157163</xdr:colOff>
      <xdr:row>11</xdr:row>
      <xdr:rowOff>178594</xdr:rowOff>
    </xdr:from>
    <xdr:to>
      <xdr:col>1</xdr:col>
      <xdr:colOff>261938</xdr:colOff>
      <xdr:row>12</xdr:row>
      <xdr:rowOff>121444</xdr:rowOff>
    </xdr:to>
    <xdr:sp macro="" textlink="">
      <xdr:nvSpPr>
        <xdr:cNvPr id="8" name="Estrella: 6 puntas 7">
          <a:extLst>
            <a:ext uri="{FF2B5EF4-FFF2-40B4-BE49-F238E27FC236}">
              <a16:creationId xmlns:a16="http://schemas.microsoft.com/office/drawing/2014/main" id="{F2A0E20B-CF6B-42E0-BF45-DAB5584C0CA4}"/>
            </a:ext>
          </a:extLst>
        </xdr:cNvPr>
        <xdr:cNvSpPr/>
      </xdr:nvSpPr>
      <xdr:spPr>
        <a:xfrm>
          <a:off x="919163" y="2274094"/>
          <a:ext cx="104775" cy="133350"/>
        </a:xfrm>
        <a:prstGeom prst="star6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7</xdr:col>
      <xdr:colOff>226219</xdr:colOff>
      <xdr:row>6</xdr:row>
      <xdr:rowOff>152400</xdr:rowOff>
    </xdr:from>
    <xdr:to>
      <xdr:col>7</xdr:col>
      <xdr:colOff>330994</xdr:colOff>
      <xdr:row>7</xdr:row>
      <xdr:rowOff>95250</xdr:rowOff>
    </xdr:to>
    <xdr:sp macro="" textlink="">
      <xdr:nvSpPr>
        <xdr:cNvPr id="9" name="Estrella: 6 puntas 8">
          <a:extLst>
            <a:ext uri="{FF2B5EF4-FFF2-40B4-BE49-F238E27FC236}">
              <a16:creationId xmlns:a16="http://schemas.microsoft.com/office/drawing/2014/main" id="{5A8806BC-79CA-4F1B-B20D-5BE39FB5DD7B}"/>
            </a:ext>
          </a:extLst>
        </xdr:cNvPr>
        <xdr:cNvSpPr/>
      </xdr:nvSpPr>
      <xdr:spPr>
        <a:xfrm>
          <a:off x="5560219" y="1295400"/>
          <a:ext cx="104775" cy="133350"/>
        </a:xfrm>
        <a:prstGeom prst="star6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7</xdr:col>
      <xdr:colOff>759448</xdr:colOff>
      <xdr:row>12</xdr:row>
      <xdr:rowOff>32147</xdr:rowOff>
    </xdr:from>
    <xdr:to>
      <xdr:col>8</xdr:col>
      <xdr:colOff>102223</xdr:colOff>
      <xdr:row>12</xdr:row>
      <xdr:rowOff>165497</xdr:rowOff>
    </xdr:to>
    <xdr:sp macro="" textlink="">
      <xdr:nvSpPr>
        <xdr:cNvPr id="10" name="Estrella: 6 puntas 9">
          <a:extLst>
            <a:ext uri="{FF2B5EF4-FFF2-40B4-BE49-F238E27FC236}">
              <a16:creationId xmlns:a16="http://schemas.microsoft.com/office/drawing/2014/main" id="{994A75F8-DC65-4CFE-A2E1-BDCE85841145}"/>
            </a:ext>
          </a:extLst>
        </xdr:cNvPr>
        <xdr:cNvSpPr/>
      </xdr:nvSpPr>
      <xdr:spPr>
        <a:xfrm>
          <a:off x="6093448" y="2318147"/>
          <a:ext cx="104775" cy="133350"/>
        </a:xfrm>
        <a:prstGeom prst="star6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3</xdr:col>
      <xdr:colOff>251051</xdr:colOff>
      <xdr:row>9</xdr:row>
      <xdr:rowOff>142875</xdr:rowOff>
    </xdr:from>
    <xdr:to>
      <xdr:col>3</xdr:col>
      <xdr:colOff>355826</xdr:colOff>
      <xdr:row>10</xdr:row>
      <xdr:rowOff>85725</xdr:rowOff>
    </xdr:to>
    <xdr:sp macro="" textlink="">
      <xdr:nvSpPr>
        <xdr:cNvPr id="11" name="Estrella: 6 puntas 10">
          <a:extLst>
            <a:ext uri="{FF2B5EF4-FFF2-40B4-BE49-F238E27FC236}">
              <a16:creationId xmlns:a16="http://schemas.microsoft.com/office/drawing/2014/main" id="{28876574-2575-47F2-8177-F24225E9184B}"/>
            </a:ext>
          </a:extLst>
        </xdr:cNvPr>
        <xdr:cNvSpPr/>
      </xdr:nvSpPr>
      <xdr:spPr>
        <a:xfrm>
          <a:off x="2537051" y="1857375"/>
          <a:ext cx="104775" cy="133350"/>
        </a:xfrm>
        <a:prstGeom prst="star6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5</xdr:col>
      <xdr:colOff>111748</xdr:colOff>
      <xdr:row>7</xdr:row>
      <xdr:rowOff>57150</xdr:rowOff>
    </xdr:from>
    <xdr:to>
      <xdr:col>5</xdr:col>
      <xdr:colOff>216523</xdr:colOff>
      <xdr:row>8</xdr:row>
      <xdr:rowOff>0</xdr:rowOff>
    </xdr:to>
    <xdr:sp macro="" textlink="">
      <xdr:nvSpPr>
        <xdr:cNvPr id="12" name="Estrella: 6 puntas 11">
          <a:extLst>
            <a:ext uri="{FF2B5EF4-FFF2-40B4-BE49-F238E27FC236}">
              <a16:creationId xmlns:a16="http://schemas.microsoft.com/office/drawing/2014/main" id="{0B9BA703-1FBF-45E6-9468-A1818E6A882F}"/>
            </a:ext>
          </a:extLst>
        </xdr:cNvPr>
        <xdr:cNvSpPr/>
      </xdr:nvSpPr>
      <xdr:spPr>
        <a:xfrm>
          <a:off x="3921748" y="1390650"/>
          <a:ext cx="104775" cy="133350"/>
        </a:xfrm>
        <a:prstGeom prst="star6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4</xdr:col>
      <xdr:colOff>204616</xdr:colOff>
      <xdr:row>4</xdr:row>
      <xdr:rowOff>72628</xdr:rowOff>
    </xdr:from>
    <xdr:to>
      <xdr:col>4</xdr:col>
      <xdr:colOff>309391</xdr:colOff>
      <xdr:row>5</xdr:row>
      <xdr:rowOff>15478</xdr:rowOff>
    </xdr:to>
    <xdr:sp macro="" textlink="">
      <xdr:nvSpPr>
        <xdr:cNvPr id="13" name="Estrella: 6 puntas 12">
          <a:extLst>
            <a:ext uri="{FF2B5EF4-FFF2-40B4-BE49-F238E27FC236}">
              <a16:creationId xmlns:a16="http://schemas.microsoft.com/office/drawing/2014/main" id="{7A3C15A1-E9BD-4E77-B8DF-1259EAB9D69B}"/>
            </a:ext>
          </a:extLst>
        </xdr:cNvPr>
        <xdr:cNvSpPr/>
      </xdr:nvSpPr>
      <xdr:spPr>
        <a:xfrm>
          <a:off x="3252616" y="834628"/>
          <a:ext cx="104775" cy="133350"/>
        </a:xfrm>
        <a:prstGeom prst="star6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3</xdr:col>
      <xdr:colOff>355826</xdr:colOff>
      <xdr:row>10</xdr:row>
      <xdr:rowOff>52388</xdr:rowOff>
    </xdr:from>
    <xdr:to>
      <xdr:col>3</xdr:col>
      <xdr:colOff>646043</xdr:colOff>
      <xdr:row>12</xdr:row>
      <xdr:rowOff>33130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1C22807B-15D4-F5A3-AF3B-1EB379178F00}"/>
            </a:ext>
          </a:extLst>
        </xdr:cNvPr>
        <xdr:cNvCxnSpPr>
          <a:endCxn id="11" idx="1"/>
        </xdr:cNvCxnSpPr>
      </xdr:nvCxnSpPr>
      <xdr:spPr>
        <a:xfrm flipH="1" flipV="1">
          <a:off x="2641826" y="1957388"/>
          <a:ext cx="290217" cy="36174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723694</xdr:colOff>
      <xdr:row>9</xdr:row>
      <xdr:rowOff>132212</xdr:rowOff>
    </xdr:from>
    <xdr:to>
      <xdr:col>4</xdr:col>
      <xdr:colOff>66469</xdr:colOff>
      <xdr:row>10</xdr:row>
      <xdr:rowOff>75062</xdr:rowOff>
    </xdr:to>
    <xdr:sp macro="" textlink="">
      <xdr:nvSpPr>
        <xdr:cNvPr id="18" name="Estrella: 6 puntas 17">
          <a:extLst>
            <a:ext uri="{FF2B5EF4-FFF2-40B4-BE49-F238E27FC236}">
              <a16:creationId xmlns:a16="http://schemas.microsoft.com/office/drawing/2014/main" id="{88949309-8C1F-436B-AE52-3E9D6DB7D784}"/>
            </a:ext>
          </a:extLst>
        </xdr:cNvPr>
        <xdr:cNvSpPr/>
      </xdr:nvSpPr>
      <xdr:spPr>
        <a:xfrm>
          <a:off x="3009694" y="1846712"/>
          <a:ext cx="104775" cy="133350"/>
        </a:xfrm>
        <a:prstGeom prst="star6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3</xdr:col>
      <xdr:colOff>355826</xdr:colOff>
      <xdr:row>4</xdr:row>
      <xdr:rowOff>172641</xdr:rowOff>
    </xdr:from>
    <xdr:to>
      <xdr:col>4</xdr:col>
      <xdr:colOff>204616</xdr:colOff>
      <xdr:row>9</xdr:row>
      <xdr:rowOff>176213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B994A47A-1D97-4E21-BC6A-3C11837D4293}"/>
            </a:ext>
          </a:extLst>
        </xdr:cNvPr>
        <xdr:cNvCxnSpPr>
          <a:stCxn id="11" idx="0"/>
          <a:endCxn id="13" idx="3"/>
        </xdr:cNvCxnSpPr>
      </xdr:nvCxnSpPr>
      <xdr:spPr>
        <a:xfrm flipV="1">
          <a:off x="2641826" y="934641"/>
          <a:ext cx="610790" cy="95607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309391</xdr:colOff>
      <xdr:row>4</xdr:row>
      <xdr:rowOff>172641</xdr:rowOff>
    </xdr:from>
    <xdr:to>
      <xdr:col>5</xdr:col>
      <xdr:colOff>111748</xdr:colOff>
      <xdr:row>7</xdr:row>
      <xdr:rowOff>90488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90F67F5F-4AEB-4F8F-90B2-B84C250E602D}"/>
            </a:ext>
          </a:extLst>
        </xdr:cNvPr>
        <xdr:cNvCxnSpPr>
          <a:stCxn id="13" idx="1"/>
          <a:endCxn id="12" idx="4"/>
        </xdr:cNvCxnSpPr>
      </xdr:nvCxnSpPr>
      <xdr:spPr>
        <a:xfrm>
          <a:off x="3357391" y="934641"/>
          <a:ext cx="564357" cy="48934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7</xdr:row>
      <xdr:rowOff>157163</xdr:rowOff>
    </xdr:from>
    <xdr:to>
      <xdr:col>5</xdr:col>
      <xdr:colOff>111748</xdr:colOff>
      <xdr:row>11</xdr:row>
      <xdr:rowOff>29766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1639C583-B105-4CA6-9DDA-A521A30D8390}"/>
            </a:ext>
          </a:extLst>
        </xdr:cNvPr>
        <xdr:cNvCxnSpPr>
          <a:stCxn id="12" idx="3"/>
        </xdr:cNvCxnSpPr>
      </xdr:nvCxnSpPr>
      <xdr:spPr>
        <a:xfrm flipH="1">
          <a:off x="2095500" y="1490663"/>
          <a:ext cx="1826248" cy="634603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636984</xdr:colOff>
      <xdr:row>11</xdr:row>
      <xdr:rowOff>35719</xdr:rowOff>
    </xdr:from>
    <xdr:to>
      <xdr:col>3</xdr:col>
      <xdr:colOff>601266</xdr:colOff>
      <xdr:row>12</xdr:row>
      <xdr:rowOff>71437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B3988000-2A88-4426-99B4-6C54BBC73C39}"/>
            </a:ext>
          </a:extLst>
        </xdr:cNvPr>
        <xdr:cNvCxnSpPr/>
      </xdr:nvCxnSpPr>
      <xdr:spPr>
        <a:xfrm>
          <a:off x="2160984" y="2131219"/>
          <a:ext cx="726282" cy="226218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569119</xdr:colOff>
      <xdr:row>10</xdr:row>
      <xdr:rowOff>41725</xdr:rowOff>
    </xdr:from>
    <xdr:to>
      <xdr:col>3</xdr:col>
      <xdr:colOff>723694</xdr:colOff>
      <xdr:row>12</xdr:row>
      <xdr:rowOff>57151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F701468C-6042-481C-B8BE-437A07B19CC1}"/>
            </a:ext>
          </a:extLst>
        </xdr:cNvPr>
        <xdr:cNvCxnSpPr>
          <a:endCxn id="18" idx="3"/>
        </xdr:cNvCxnSpPr>
      </xdr:nvCxnSpPr>
      <xdr:spPr>
        <a:xfrm flipV="1">
          <a:off x="2855119" y="1946725"/>
          <a:ext cx="154575" cy="396426"/>
        </a:xfrm>
        <a:prstGeom prst="straightConnector1">
          <a:avLst/>
        </a:prstGeom>
        <a:ln>
          <a:solidFill>
            <a:srgbClr val="92D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11906</xdr:colOff>
      <xdr:row>4</xdr:row>
      <xdr:rowOff>116682</xdr:rowOff>
    </xdr:from>
    <xdr:to>
      <xdr:col>1</xdr:col>
      <xdr:colOff>116681</xdr:colOff>
      <xdr:row>5</xdr:row>
      <xdr:rowOff>59532</xdr:rowOff>
    </xdr:to>
    <xdr:sp macro="" textlink="">
      <xdr:nvSpPr>
        <xdr:cNvPr id="35" name="Estrella: 6 puntas 34">
          <a:extLst>
            <a:ext uri="{FF2B5EF4-FFF2-40B4-BE49-F238E27FC236}">
              <a16:creationId xmlns:a16="http://schemas.microsoft.com/office/drawing/2014/main" id="{BEC75865-8F08-4DD6-BE21-4698D3E31B29}"/>
            </a:ext>
          </a:extLst>
        </xdr:cNvPr>
        <xdr:cNvSpPr/>
      </xdr:nvSpPr>
      <xdr:spPr>
        <a:xfrm>
          <a:off x="773906" y="878682"/>
          <a:ext cx="104775" cy="133350"/>
        </a:xfrm>
        <a:prstGeom prst="star6">
          <a:avLst/>
        </a:prstGeom>
        <a:solidFill>
          <a:schemeClr val="bg1">
            <a:lumMod val="65000"/>
          </a:schemeClr>
        </a:solidFill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1</xdr:col>
      <xdr:colOff>336947</xdr:colOff>
      <xdr:row>18</xdr:row>
      <xdr:rowOff>45612</xdr:rowOff>
    </xdr:from>
    <xdr:to>
      <xdr:col>1</xdr:col>
      <xdr:colOff>441722</xdr:colOff>
      <xdr:row>18</xdr:row>
      <xdr:rowOff>178962</xdr:rowOff>
    </xdr:to>
    <xdr:sp macro="" textlink="">
      <xdr:nvSpPr>
        <xdr:cNvPr id="36" name="Estrella: 6 puntas 35">
          <a:extLst>
            <a:ext uri="{FF2B5EF4-FFF2-40B4-BE49-F238E27FC236}">
              <a16:creationId xmlns:a16="http://schemas.microsoft.com/office/drawing/2014/main" id="{C4E5F73C-D2C2-4238-BDB0-DF538E8CE59A}"/>
            </a:ext>
          </a:extLst>
        </xdr:cNvPr>
        <xdr:cNvSpPr/>
      </xdr:nvSpPr>
      <xdr:spPr>
        <a:xfrm>
          <a:off x="1098947" y="3474612"/>
          <a:ext cx="104775" cy="133350"/>
        </a:xfrm>
        <a:prstGeom prst="star6">
          <a:avLst/>
        </a:prstGeom>
        <a:solidFill>
          <a:schemeClr val="bg1">
            <a:lumMod val="65000"/>
          </a:schemeClr>
        </a:solidFill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10</xdr:col>
      <xdr:colOff>33337</xdr:colOff>
      <xdr:row>4</xdr:row>
      <xdr:rowOff>84535</xdr:rowOff>
    </xdr:from>
    <xdr:to>
      <xdr:col>10</xdr:col>
      <xdr:colOff>138112</xdr:colOff>
      <xdr:row>5</xdr:row>
      <xdr:rowOff>27385</xdr:rowOff>
    </xdr:to>
    <xdr:sp macro="" textlink="">
      <xdr:nvSpPr>
        <xdr:cNvPr id="37" name="Estrella: 6 puntas 36">
          <a:extLst>
            <a:ext uri="{FF2B5EF4-FFF2-40B4-BE49-F238E27FC236}">
              <a16:creationId xmlns:a16="http://schemas.microsoft.com/office/drawing/2014/main" id="{FF9EAB38-8226-4F14-BF1E-4E1F407E6369}"/>
            </a:ext>
          </a:extLst>
        </xdr:cNvPr>
        <xdr:cNvSpPr/>
      </xdr:nvSpPr>
      <xdr:spPr>
        <a:xfrm>
          <a:off x="7653337" y="846535"/>
          <a:ext cx="104775" cy="133350"/>
        </a:xfrm>
        <a:prstGeom prst="star6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>
    <xdr:from>
      <xdr:col>1</xdr:col>
      <xdr:colOff>327237</xdr:colOff>
      <xdr:row>19</xdr:row>
      <xdr:rowOff>35903</xdr:rowOff>
    </xdr:from>
    <xdr:to>
      <xdr:col>1</xdr:col>
      <xdr:colOff>432012</xdr:colOff>
      <xdr:row>19</xdr:row>
      <xdr:rowOff>169253</xdr:rowOff>
    </xdr:to>
    <xdr:sp macro="" textlink="">
      <xdr:nvSpPr>
        <xdr:cNvPr id="38" name="Estrella: 6 puntas 37">
          <a:extLst>
            <a:ext uri="{FF2B5EF4-FFF2-40B4-BE49-F238E27FC236}">
              <a16:creationId xmlns:a16="http://schemas.microsoft.com/office/drawing/2014/main" id="{5D86BA3C-C86B-4AF5-B3AC-F24078802FA0}"/>
            </a:ext>
          </a:extLst>
        </xdr:cNvPr>
        <xdr:cNvSpPr/>
      </xdr:nvSpPr>
      <xdr:spPr>
        <a:xfrm>
          <a:off x="1089237" y="3655403"/>
          <a:ext cx="104775" cy="133350"/>
        </a:xfrm>
        <a:prstGeom prst="star6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 kern="1200"/>
        </a:p>
      </xdr:txBody>
    </xdr:sp>
    <xdr:clientData/>
  </xdr:twoCellAnchor>
  <xdr:twoCellAnchor editAs="oneCell">
    <xdr:from>
      <xdr:col>0</xdr:col>
      <xdr:colOff>742950</xdr:colOff>
      <xdr:row>23</xdr:row>
      <xdr:rowOff>0</xdr:rowOff>
    </xdr:from>
    <xdr:to>
      <xdr:col>14</xdr:col>
      <xdr:colOff>342900</xdr:colOff>
      <xdr:row>34</xdr:row>
      <xdr:rowOff>47625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DFF383B-AF74-F92C-4BFD-37A159732120}"/>
            </a:ext>
            <a:ext uri="{147F2762-F138-4A5C-976F-8EAC2B608ADB}">
              <a16:predDERef xmlns:a16="http://schemas.microsoft.com/office/drawing/2014/main" pred="{5D86BA3C-C86B-4AF5-B3AC-F24078802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950" y="4381500"/>
          <a:ext cx="10267950" cy="2143125"/>
        </a:xfrm>
        <a:prstGeom prst="rect">
          <a:avLst/>
        </a:prstGeom>
      </xdr:spPr>
    </xdr:pic>
    <xdr:clientData/>
  </xdr:twoCellAnchor>
  <xdr:twoCellAnchor>
    <xdr:from>
      <xdr:col>6</xdr:col>
      <xdr:colOff>590550</xdr:colOff>
      <xdr:row>31</xdr:row>
      <xdr:rowOff>180975</xdr:rowOff>
    </xdr:from>
    <xdr:to>
      <xdr:col>6</xdr:col>
      <xdr:colOff>695325</xdr:colOff>
      <xdr:row>32</xdr:row>
      <xdr:rowOff>123825</xdr:rowOff>
    </xdr:to>
    <xdr:sp macro="" textlink="">
      <xdr:nvSpPr>
        <xdr:cNvPr id="16" name="6-Point Star 15">
          <a:extLst>
            <a:ext uri="{FF2B5EF4-FFF2-40B4-BE49-F238E27FC236}">
              <a16:creationId xmlns:a16="http://schemas.microsoft.com/office/drawing/2014/main" id="{17D23B76-E4C1-4D7A-AE86-E9DFF7201968}"/>
            </a:ext>
            <a:ext uri="{147F2762-F138-4A5C-976F-8EAC2B608ADB}">
              <a16:predDERef xmlns:a16="http://schemas.microsoft.com/office/drawing/2014/main" pred="{1DFF383B-AF74-F92C-4BFD-37A159732120}"/>
            </a:ext>
          </a:extLst>
        </xdr:cNvPr>
        <xdr:cNvSpPr/>
      </xdr:nvSpPr>
      <xdr:spPr>
        <a:xfrm>
          <a:off x="5162550" y="6086475"/>
          <a:ext cx="104775" cy="133350"/>
        </a:xfrm>
        <a:prstGeom prst="star6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 kern="1200"/>
        </a:p>
      </xdr:txBody>
    </xdr:sp>
    <xdr:clientData/>
  </xdr:twoCellAnchor>
  <xdr:twoCellAnchor>
    <xdr:from>
      <xdr:col>4</xdr:col>
      <xdr:colOff>247650</xdr:colOff>
      <xdr:row>24</xdr:row>
      <xdr:rowOff>28575</xdr:rowOff>
    </xdr:from>
    <xdr:to>
      <xdr:col>4</xdr:col>
      <xdr:colOff>352425</xdr:colOff>
      <xdr:row>24</xdr:row>
      <xdr:rowOff>161925</xdr:rowOff>
    </xdr:to>
    <xdr:sp macro="" textlink="">
      <xdr:nvSpPr>
        <xdr:cNvPr id="17" name="6-Point Star 16">
          <a:extLst>
            <a:ext uri="{FF2B5EF4-FFF2-40B4-BE49-F238E27FC236}">
              <a16:creationId xmlns:a16="http://schemas.microsoft.com/office/drawing/2014/main" id="{3B4213BC-C47C-4090-9F2F-547280D5FCE6}"/>
            </a:ext>
            <a:ext uri="{147F2762-F138-4A5C-976F-8EAC2B608ADB}">
              <a16:predDERef xmlns:a16="http://schemas.microsoft.com/office/drawing/2014/main" pred="{17D23B76-E4C1-4D7A-AE86-E9DFF7201968}"/>
            </a:ext>
          </a:extLst>
        </xdr:cNvPr>
        <xdr:cNvSpPr/>
      </xdr:nvSpPr>
      <xdr:spPr>
        <a:xfrm>
          <a:off x="3295650" y="4600575"/>
          <a:ext cx="104775" cy="133350"/>
        </a:xfrm>
        <a:prstGeom prst="star6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 kern="1200"/>
        </a:p>
      </xdr:txBody>
    </xdr:sp>
    <xdr:clientData/>
  </xdr:twoCellAnchor>
  <xdr:twoCellAnchor>
    <xdr:from>
      <xdr:col>1</xdr:col>
      <xdr:colOff>552450</xdr:colOff>
      <xdr:row>31</xdr:row>
      <xdr:rowOff>180975</xdr:rowOff>
    </xdr:from>
    <xdr:to>
      <xdr:col>1</xdr:col>
      <xdr:colOff>657225</xdr:colOff>
      <xdr:row>32</xdr:row>
      <xdr:rowOff>123825</xdr:rowOff>
    </xdr:to>
    <xdr:sp macro="" textlink="">
      <xdr:nvSpPr>
        <xdr:cNvPr id="21" name="6-Point Star 20">
          <a:extLst>
            <a:ext uri="{FF2B5EF4-FFF2-40B4-BE49-F238E27FC236}">
              <a16:creationId xmlns:a16="http://schemas.microsoft.com/office/drawing/2014/main" id="{D9248963-B0B7-4538-930C-4ED4D62F5D3C}"/>
            </a:ext>
            <a:ext uri="{147F2762-F138-4A5C-976F-8EAC2B608ADB}">
              <a16:predDERef xmlns:a16="http://schemas.microsoft.com/office/drawing/2014/main" pred="{D79B9457-BEAC-490F-95AE-596815645288}"/>
            </a:ext>
          </a:extLst>
        </xdr:cNvPr>
        <xdr:cNvSpPr/>
      </xdr:nvSpPr>
      <xdr:spPr>
        <a:xfrm>
          <a:off x="1314450" y="6086475"/>
          <a:ext cx="104775" cy="133350"/>
        </a:xfrm>
        <a:prstGeom prst="star6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 kern="1200"/>
        </a:p>
      </xdr:txBody>
    </xdr:sp>
    <xdr:clientData/>
  </xdr:twoCellAnchor>
  <xdr:twoCellAnchor>
    <xdr:from>
      <xdr:col>4</xdr:col>
      <xdr:colOff>342900</xdr:colOff>
      <xdr:row>31</xdr:row>
      <xdr:rowOff>161925</xdr:rowOff>
    </xdr:from>
    <xdr:to>
      <xdr:col>4</xdr:col>
      <xdr:colOff>447675</xdr:colOff>
      <xdr:row>32</xdr:row>
      <xdr:rowOff>104775</xdr:rowOff>
    </xdr:to>
    <xdr:sp macro="" textlink="">
      <xdr:nvSpPr>
        <xdr:cNvPr id="22" name="6-Point Star 21">
          <a:extLst>
            <a:ext uri="{FF2B5EF4-FFF2-40B4-BE49-F238E27FC236}">
              <a16:creationId xmlns:a16="http://schemas.microsoft.com/office/drawing/2014/main" id="{512E04FC-2111-4952-9A6A-11776E80E4E8}"/>
            </a:ext>
            <a:ext uri="{147F2762-F138-4A5C-976F-8EAC2B608ADB}">
              <a16:predDERef xmlns:a16="http://schemas.microsoft.com/office/drawing/2014/main" pred="{D9248963-B0B7-4538-930C-4ED4D62F5D3C}"/>
            </a:ext>
          </a:extLst>
        </xdr:cNvPr>
        <xdr:cNvSpPr/>
      </xdr:nvSpPr>
      <xdr:spPr>
        <a:xfrm>
          <a:off x="3390900" y="6067425"/>
          <a:ext cx="104775" cy="133350"/>
        </a:xfrm>
        <a:prstGeom prst="star6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 kern="1200"/>
        </a:p>
      </xdr:txBody>
    </xdr:sp>
    <xdr:clientData/>
  </xdr:twoCellAnchor>
  <xdr:twoCellAnchor>
    <xdr:from>
      <xdr:col>2</xdr:col>
      <xdr:colOff>200025</xdr:colOff>
      <xdr:row>31</xdr:row>
      <xdr:rowOff>104775</xdr:rowOff>
    </xdr:from>
    <xdr:to>
      <xdr:col>2</xdr:col>
      <xdr:colOff>304800</xdr:colOff>
      <xdr:row>32</xdr:row>
      <xdr:rowOff>47625</xdr:rowOff>
    </xdr:to>
    <xdr:sp macro="" textlink="">
      <xdr:nvSpPr>
        <xdr:cNvPr id="24" name="6-Point Star 23">
          <a:extLst>
            <a:ext uri="{FF2B5EF4-FFF2-40B4-BE49-F238E27FC236}">
              <a16:creationId xmlns:a16="http://schemas.microsoft.com/office/drawing/2014/main" id="{4FF12E6E-0C60-4B2A-8DB1-97BA0F31AFA3}"/>
            </a:ext>
            <a:ext uri="{147F2762-F138-4A5C-976F-8EAC2B608ADB}">
              <a16:predDERef xmlns:a16="http://schemas.microsoft.com/office/drawing/2014/main" pred="{512E04FC-2111-4952-9A6A-11776E80E4E8}"/>
            </a:ext>
          </a:extLst>
        </xdr:cNvPr>
        <xdr:cNvSpPr/>
      </xdr:nvSpPr>
      <xdr:spPr>
        <a:xfrm>
          <a:off x="1724025" y="6010275"/>
          <a:ext cx="104775" cy="133350"/>
        </a:xfrm>
        <a:prstGeom prst="star6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 kern="1200"/>
        </a:p>
      </xdr:txBody>
    </xdr:sp>
    <xdr:clientData/>
  </xdr:twoCellAnchor>
  <xdr:twoCellAnchor>
    <xdr:from>
      <xdr:col>6</xdr:col>
      <xdr:colOff>219075</xdr:colOff>
      <xdr:row>31</xdr:row>
      <xdr:rowOff>95250</xdr:rowOff>
    </xdr:from>
    <xdr:to>
      <xdr:col>6</xdr:col>
      <xdr:colOff>323850</xdr:colOff>
      <xdr:row>32</xdr:row>
      <xdr:rowOff>38100</xdr:rowOff>
    </xdr:to>
    <xdr:sp macro="" textlink="">
      <xdr:nvSpPr>
        <xdr:cNvPr id="25" name="6-Point Star 24">
          <a:extLst>
            <a:ext uri="{FF2B5EF4-FFF2-40B4-BE49-F238E27FC236}">
              <a16:creationId xmlns:a16="http://schemas.microsoft.com/office/drawing/2014/main" id="{59BF51F8-892F-4F19-BEEC-D62FC86C897B}"/>
            </a:ext>
            <a:ext uri="{147F2762-F138-4A5C-976F-8EAC2B608ADB}">
              <a16:predDERef xmlns:a16="http://schemas.microsoft.com/office/drawing/2014/main" pred="{4FF12E6E-0C60-4B2A-8DB1-97BA0F31AFA3}"/>
            </a:ext>
          </a:extLst>
        </xdr:cNvPr>
        <xdr:cNvSpPr/>
      </xdr:nvSpPr>
      <xdr:spPr>
        <a:xfrm>
          <a:off x="4791075" y="6000750"/>
          <a:ext cx="104775" cy="133350"/>
        </a:xfrm>
        <a:prstGeom prst="star6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 kern="12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ERGIO ALEJANDRO PONCE SAUCEDA" id="{A1012215-B85C-48BB-B12F-1384752EF802}" userId="S::sponce@unitec.edu::3237e35a-44af-4ccb-8ae9-d2a011cdb8f5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8" dT="2024-11-15T16:22:23.33" personId="{A1012215-B85C-48BB-B12F-1384752EF802}" id="{B709E2B6-87DA-4651-AB3D-03652C59F89C}">
    <text>Los operadores que deben hacer 2 actividades o mas se deben identificar. Esto debido a que no se centran en una sola tarea al mismo tiempo y la capacidad de 540 minutos no es real ya que no usan todos los 540 min en una actividad.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C89A-5EBC-4C97-B00E-6F6305B8072E}">
  <dimension ref="A2:O65"/>
  <sheetViews>
    <sheetView workbookViewId="0">
      <selection activeCell="J5" sqref="J5"/>
    </sheetView>
  </sheetViews>
  <sheetFormatPr defaultColWidth="11.42578125" defaultRowHeight="15"/>
  <cols>
    <col min="2" max="2" width="14" customWidth="1"/>
    <col min="3" max="4" width="17.7109375" customWidth="1"/>
    <col min="5" max="5" width="22.7109375" customWidth="1"/>
    <col min="6" max="6" width="21.7109375" customWidth="1"/>
    <col min="7" max="7" width="17.7109375" customWidth="1"/>
    <col min="8" max="8" width="17.28515625" customWidth="1"/>
    <col min="9" max="9" width="14.85546875" customWidth="1"/>
    <col min="10" max="10" width="17.140625" customWidth="1"/>
    <col min="11" max="11" width="20.28515625" customWidth="1"/>
    <col min="12" max="12" width="18.85546875" customWidth="1"/>
    <col min="13" max="13" width="21.5703125" customWidth="1"/>
  </cols>
  <sheetData>
    <row r="2" spans="1:15">
      <c r="J2" t="s">
        <v>0</v>
      </c>
    </row>
    <row r="3" spans="1:15">
      <c r="B3" s="1" t="s">
        <v>1</v>
      </c>
    </row>
    <row r="4" spans="1:15">
      <c r="A4" s="5" t="s">
        <v>2</v>
      </c>
      <c r="B4" s="5"/>
      <c r="C4" s="5" t="s">
        <v>3</v>
      </c>
      <c r="D4" s="5"/>
      <c r="E4" s="5" t="s">
        <v>4</v>
      </c>
      <c r="F4" s="5" t="s">
        <v>5</v>
      </c>
      <c r="G4" s="5" t="s">
        <v>6</v>
      </c>
      <c r="H4" s="5" t="s">
        <v>7</v>
      </c>
      <c r="I4" s="5"/>
      <c r="J4" s="5"/>
      <c r="K4" s="5"/>
      <c r="O4" t="s">
        <v>8</v>
      </c>
    </row>
    <row r="5" spans="1:15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  <c r="J5" s="5" t="s">
        <v>18</v>
      </c>
      <c r="K5" s="5" t="s">
        <v>19</v>
      </c>
    </row>
    <row r="6" spans="1:15">
      <c r="B6" s="5">
        <v>0.51</v>
      </c>
      <c r="C6" s="5">
        <v>0.56000000000000005</v>
      </c>
      <c r="D6" s="5">
        <v>0.41</v>
      </c>
      <c r="E6" s="5">
        <v>0.09</v>
      </c>
      <c r="F6" s="5">
        <v>3.02</v>
      </c>
      <c r="G6" s="5">
        <v>2</v>
      </c>
      <c r="H6" s="5">
        <v>1.1499999999999999</v>
      </c>
      <c r="I6" s="5">
        <v>0.47</v>
      </c>
      <c r="J6" s="5"/>
      <c r="K6" s="5"/>
    </row>
    <row r="7" spans="1:15">
      <c r="B7" s="5">
        <v>0.53</v>
      </c>
      <c r="C7" s="5">
        <v>0.51</v>
      </c>
      <c r="D7" s="5">
        <v>0.42</v>
      </c>
      <c r="E7" s="5">
        <v>0.1</v>
      </c>
      <c r="F7" s="5">
        <v>3.18</v>
      </c>
      <c r="G7" s="5">
        <v>1.41</v>
      </c>
      <c r="H7" s="5">
        <v>1.08</v>
      </c>
      <c r="I7" s="5">
        <v>0.47</v>
      </c>
      <c r="J7" s="5"/>
      <c r="K7" s="5" t="s">
        <v>8</v>
      </c>
    </row>
    <row r="8" spans="1:15">
      <c r="B8" s="5">
        <v>0.49</v>
      </c>
      <c r="C8" s="5">
        <v>1.21</v>
      </c>
      <c r="D8" s="5">
        <v>0.31</v>
      </c>
      <c r="E8" s="5">
        <v>0.09</v>
      </c>
      <c r="F8" s="5">
        <v>3.37</v>
      </c>
      <c r="G8" s="5">
        <v>2.02</v>
      </c>
      <c r="H8" s="5">
        <v>1.2</v>
      </c>
      <c r="I8" s="5">
        <v>0.52</v>
      </c>
      <c r="J8" s="5"/>
      <c r="K8" s="5"/>
    </row>
    <row r="9" spans="1:15">
      <c r="B9" s="5">
        <v>0.5</v>
      </c>
      <c r="C9" s="5">
        <v>1.18</v>
      </c>
      <c r="D9" s="5">
        <v>0.48</v>
      </c>
      <c r="E9" s="5">
        <v>0.11</v>
      </c>
      <c r="F9" s="5">
        <v>6.16</v>
      </c>
      <c r="G9" s="5">
        <v>1.34</v>
      </c>
      <c r="H9" s="5">
        <v>1.19</v>
      </c>
      <c r="I9" s="5">
        <v>0.49</v>
      </c>
      <c r="J9" s="5"/>
      <c r="K9" s="5"/>
    </row>
    <row r="10" spans="1:15">
      <c r="B10" s="6">
        <v>0.51</v>
      </c>
      <c r="C10" s="6">
        <v>1.1499999999999999</v>
      </c>
      <c r="D10" s="6">
        <v>1.02</v>
      </c>
      <c r="E10" s="6">
        <v>0.09</v>
      </c>
      <c r="F10" s="6">
        <v>3.15</v>
      </c>
      <c r="G10" s="6">
        <v>1.2</v>
      </c>
      <c r="H10" s="6">
        <v>1.1599999999999999</v>
      </c>
      <c r="I10" s="6">
        <v>0.48</v>
      </c>
      <c r="J10" s="6"/>
      <c r="K10" s="6"/>
    </row>
    <row r="11" spans="1:15">
      <c r="A11" s="12" t="s">
        <v>20</v>
      </c>
      <c r="B11" s="13">
        <v>4.1399999999999997</v>
      </c>
      <c r="C11" s="13">
        <v>5.41</v>
      </c>
      <c r="D11" s="13">
        <v>3.44</v>
      </c>
      <c r="E11" s="13">
        <v>0.48</v>
      </c>
      <c r="F11" s="13"/>
      <c r="G11" s="13"/>
      <c r="H11" s="13"/>
      <c r="I11" s="13"/>
      <c r="J11" s="13"/>
      <c r="K11" s="13"/>
    </row>
    <row r="12" spans="1:15">
      <c r="A12" s="12" t="s">
        <v>21</v>
      </c>
      <c r="B12" s="13">
        <v>0.51</v>
      </c>
      <c r="C12" s="13">
        <v>1.08</v>
      </c>
      <c r="D12" s="13">
        <v>0.45</v>
      </c>
      <c r="E12" s="13">
        <v>0.1</v>
      </c>
      <c r="F12" s="13"/>
      <c r="G12" s="13"/>
      <c r="H12" s="13"/>
      <c r="I12" s="13"/>
      <c r="J12" s="13"/>
      <c r="K12" s="13"/>
    </row>
    <row r="13" spans="1:15">
      <c r="B13" s="1" t="s">
        <v>22</v>
      </c>
    </row>
    <row r="14" spans="1:15">
      <c r="A14" t="s">
        <v>2</v>
      </c>
    </row>
    <row r="15" spans="1:15">
      <c r="A15" t="s">
        <v>9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28</v>
      </c>
    </row>
    <row r="16" spans="1:15">
      <c r="B16">
        <v>0.45</v>
      </c>
      <c r="C16">
        <v>7.0000000000000007E-2</v>
      </c>
      <c r="D16">
        <v>1.01</v>
      </c>
      <c r="E16">
        <v>0.23</v>
      </c>
      <c r="F16">
        <v>0.04</v>
      </c>
      <c r="G16">
        <v>0.32</v>
      </c>
    </row>
    <row r="17" spans="1:15">
      <c r="B17">
        <v>0.49</v>
      </c>
      <c r="C17">
        <v>0.06</v>
      </c>
      <c r="D17">
        <v>0.44</v>
      </c>
      <c r="E17">
        <v>0.2</v>
      </c>
      <c r="F17">
        <v>0.03</v>
      </c>
      <c r="G17">
        <v>0.48</v>
      </c>
    </row>
    <row r="18" spans="1:15">
      <c r="B18">
        <v>0.44</v>
      </c>
      <c r="C18">
        <v>0.06</v>
      </c>
      <c r="D18">
        <v>1.1399999999999999</v>
      </c>
      <c r="E18">
        <v>0.22</v>
      </c>
      <c r="F18">
        <v>0.03</v>
      </c>
      <c r="G18">
        <v>0.49</v>
      </c>
    </row>
    <row r="19" spans="1:15">
      <c r="B19">
        <v>0.44</v>
      </c>
      <c r="C19">
        <v>0.06</v>
      </c>
      <c r="D19">
        <v>1.18</v>
      </c>
      <c r="E19">
        <v>0.28999999999999998</v>
      </c>
      <c r="F19">
        <v>0.04</v>
      </c>
      <c r="G19">
        <v>0.52</v>
      </c>
    </row>
    <row r="20" spans="1:15">
      <c r="B20">
        <v>0.46</v>
      </c>
      <c r="C20">
        <v>7.0000000000000007E-2</v>
      </c>
      <c r="D20">
        <v>1.25</v>
      </c>
      <c r="E20">
        <v>0.2</v>
      </c>
      <c r="F20">
        <v>0.03</v>
      </c>
      <c r="G20">
        <v>0.47</v>
      </c>
    </row>
    <row r="23" spans="1:15">
      <c r="B23" s="1" t="s">
        <v>29</v>
      </c>
    </row>
    <row r="24" spans="1:15">
      <c r="A24" t="s">
        <v>2</v>
      </c>
      <c r="B24" t="s">
        <v>30</v>
      </c>
      <c r="F24" s="3" t="s">
        <v>31</v>
      </c>
      <c r="H24" t="s">
        <v>32</v>
      </c>
    </row>
    <row r="25" spans="1:15">
      <c r="A25" t="s">
        <v>9</v>
      </c>
      <c r="B25" t="s">
        <v>33</v>
      </c>
      <c r="C25" t="s">
        <v>34</v>
      </c>
      <c r="D25" t="s">
        <v>35</v>
      </c>
      <c r="E25" t="s">
        <v>36</v>
      </c>
      <c r="F25" s="3" t="s">
        <v>37</v>
      </c>
      <c r="G25" t="s">
        <v>38</v>
      </c>
      <c r="H25" t="s">
        <v>39</v>
      </c>
      <c r="I25" t="s">
        <v>40</v>
      </c>
      <c r="J25" t="s">
        <v>41</v>
      </c>
      <c r="K25" s="3" t="s">
        <v>42</v>
      </c>
      <c r="L25" t="s">
        <v>43</v>
      </c>
    </row>
    <row r="26" spans="1:15">
      <c r="B26">
        <v>1.37</v>
      </c>
      <c r="C26">
        <v>1.01</v>
      </c>
      <c r="D26">
        <v>1.31</v>
      </c>
      <c r="E26">
        <v>0.3</v>
      </c>
      <c r="F26">
        <v>0.46</v>
      </c>
      <c r="G26">
        <v>0.35</v>
      </c>
      <c r="H26">
        <v>0.44</v>
      </c>
      <c r="I26">
        <v>2.4500000000000002</v>
      </c>
      <c r="J26">
        <v>0.32</v>
      </c>
      <c r="L26">
        <v>0.18</v>
      </c>
    </row>
    <row r="27" spans="1:15">
      <c r="B27">
        <v>1.25</v>
      </c>
      <c r="C27">
        <v>0.54</v>
      </c>
      <c r="D27">
        <v>1.43</v>
      </c>
      <c r="E27">
        <v>0.47</v>
      </c>
      <c r="F27">
        <v>0.47</v>
      </c>
      <c r="G27">
        <v>0.28999999999999998</v>
      </c>
      <c r="H27">
        <v>0.31</v>
      </c>
      <c r="I27">
        <v>2.4500000000000002</v>
      </c>
      <c r="J27">
        <v>0.36</v>
      </c>
      <c r="L27">
        <v>0.12</v>
      </c>
    </row>
    <row r="28" spans="1:15">
      <c r="B28">
        <v>1.41</v>
      </c>
      <c r="C28">
        <v>0.56999999999999995</v>
      </c>
      <c r="D28">
        <v>1.26</v>
      </c>
      <c r="E28">
        <v>0.37</v>
      </c>
      <c r="F28">
        <v>0.52</v>
      </c>
      <c r="G28">
        <v>0.32</v>
      </c>
      <c r="H28">
        <v>0.39</v>
      </c>
      <c r="I28">
        <v>2.38</v>
      </c>
      <c r="J28">
        <v>0.31</v>
      </c>
      <c r="L28">
        <v>0.14000000000000001</v>
      </c>
      <c r="O28" t="s">
        <v>44</v>
      </c>
    </row>
    <row r="29" spans="1:15">
      <c r="B29">
        <v>1.19</v>
      </c>
      <c r="C29">
        <v>0.57999999999999996</v>
      </c>
      <c r="D29">
        <v>1.39</v>
      </c>
      <c r="E29">
        <v>0.39</v>
      </c>
      <c r="F29">
        <v>0.51</v>
      </c>
      <c r="G29">
        <v>0.26</v>
      </c>
      <c r="H29">
        <v>0.28999999999999998</v>
      </c>
      <c r="I29">
        <v>2.41</v>
      </c>
      <c r="J29">
        <v>0.39</v>
      </c>
      <c r="L29">
        <v>0.16</v>
      </c>
      <c r="O29" s="2" t="s">
        <v>45</v>
      </c>
    </row>
    <row r="30" spans="1:15">
      <c r="B30">
        <v>2.19</v>
      </c>
      <c r="C30">
        <v>1.1399999999999999</v>
      </c>
      <c r="D30">
        <v>1.41</v>
      </c>
      <c r="E30">
        <v>0.36</v>
      </c>
      <c r="F30">
        <v>0.41</v>
      </c>
      <c r="G30">
        <v>1.06</v>
      </c>
      <c r="H30">
        <v>0.33</v>
      </c>
      <c r="I30">
        <v>2.31</v>
      </c>
      <c r="J30">
        <v>0.38</v>
      </c>
      <c r="L30">
        <v>0.19</v>
      </c>
    </row>
    <row r="34" spans="1:5">
      <c r="B34" s="1" t="s">
        <v>46</v>
      </c>
    </row>
    <row r="35" spans="1:5">
      <c r="A35" t="s">
        <v>2</v>
      </c>
    </row>
    <row r="36" spans="1:5">
      <c r="A36" t="s">
        <v>9</v>
      </c>
      <c r="B36" t="s">
        <v>47</v>
      </c>
      <c r="C36" t="s">
        <v>48</v>
      </c>
      <c r="D36" t="s">
        <v>49</v>
      </c>
      <c r="E36" t="s">
        <v>50</v>
      </c>
    </row>
    <row r="37" spans="1:5">
      <c r="B37">
        <v>0.55000000000000004</v>
      </c>
      <c r="E37">
        <v>0.5</v>
      </c>
    </row>
    <row r="38" spans="1:5">
      <c r="B38">
        <v>0.44</v>
      </c>
      <c r="E38">
        <v>0.27</v>
      </c>
    </row>
    <row r="39" spans="1:5">
      <c r="B39">
        <v>1</v>
      </c>
      <c r="E39">
        <v>0.28000000000000003</v>
      </c>
    </row>
    <row r="40" spans="1:5">
      <c r="B40">
        <v>0.54</v>
      </c>
      <c r="E40">
        <v>0.26</v>
      </c>
    </row>
    <row r="41" spans="1:5">
      <c r="B41">
        <v>0.43</v>
      </c>
      <c r="E41">
        <v>0.24</v>
      </c>
    </row>
    <row r="49" spans="1:9">
      <c r="B49" s="1" t="s">
        <v>51</v>
      </c>
    </row>
    <row r="50" spans="1:9">
      <c r="A50" t="s">
        <v>2</v>
      </c>
    </row>
    <row r="51" spans="1:9">
      <c r="A51" t="s">
        <v>9</v>
      </c>
      <c r="B51" t="s">
        <v>52</v>
      </c>
      <c r="C51" t="s">
        <v>53</v>
      </c>
      <c r="D51" t="s">
        <v>54</v>
      </c>
      <c r="E51" t="s">
        <v>55</v>
      </c>
      <c r="F51" t="s">
        <v>56</v>
      </c>
      <c r="G51" s="3" t="s">
        <v>57</v>
      </c>
      <c r="H51" t="s">
        <v>58</v>
      </c>
      <c r="I51" s="14" t="s">
        <v>59</v>
      </c>
    </row>
    <row r="52" spans="1:9">
      <c r="B52">
        <v>0.4</v>
      </c>
      <c r="C52">
        <v>0.57999999999999996</v>
      </c>
      <c r="D52">
        <v>1.32</v>
      </c>
      <c r="E52">
        <v>1.5</v>
      </c>
      <c r="F52">
        <v>1.17</v>
      </c>
      <c r="G52">
        <v>0.4</v>
      </c>
      <c r="H52">
        <v>0.23</v>
      </c>
    </row>
    <row r="53" spans="1:9">
      <c r="B53">
        <v>0.37</v>
      </c>
      <c r="C53">
        <v>0.54</v>
      </c>
      <c r="D53">
        <v>1.39</v>
      </c>
      <c r="E53">
        <v>1.33</v>
      </c>
      <c r="F53">
        <v>1.26</v>
      </c>
      <c r="G53">
        <v>0.49</v>
      </c>
      <c r="H53">
        <v>0.2</v>
      </c>
    </row>
    <row r="54" spans="1:9">
      <c r="B54">
        <v>0.42</v>
      </c>
      <c r="C54">
        <v>0.54</v>
      </c>
      <c r="D54">
        <v>1.43</v>
      </c>
      <c r="E54">
        <v>1.42</v>
      </c>
      <c r="F54">
        <v>1.29</v>
      </c>
      <c r="G54">
        <v>0.53</v>
      </c>
      <c r="H54">
        <v>0.2</v>
      </c>
    </row>
    <row r="55" spans="1:9">
      <c r="B55">
        <v>0.39</v>
      </c>
      <c r="C55">
        <v>0.59</v>
      </c>
      <c r="D55">
        <v>1.37</v>
      </c>
      <c r="E55">
        <v>1.31</v>
      </c>
      <c r="F55">
        <v>1.35</v>
      </c>
      <c r="G55">
        <v>1.08</v>
      </c>
      <c r="H55">
        <v>0.21</v>
      </c>
    </row>
    <row r="56" spans="1:9">
      <c r="B56">
        <v>0.43</v>
      </c>
      <c r="C56">
        <v>0.5</v>
      </c>
      <c r="D56">
        <v>1.4</v>
      </c>
      <c r="E56">
        <v>1.28</v>
      </c>
      <c r="F56">
        <v>2.0699999999999998</v>
      </c>
      <c r="G56">
        <v>0.56000000000000005</v>
      </c>
      <c r="H56">
        <v>0.17</v>
      </c>
    </row>
    <row r="58" spans="1:9">
      <c r="B58" s="1" t="s">
        <v>60</v>
      </c>
    </row>
    <row r="59" spans="1:9">
      <c r="A59" t="s">
        <v>2</v>
      </c>
    </row>
    <row r="60" spans="1:9">
      <c r="A60" t="s">
        <v>9</v>
      </c>
      <c r="B60" t="s">
        <v>61</v>
      </c>
      <c r="C60" t="s">
        <v>62</v>
      </c>
      <c r="D60" t="s">
        <v>63</v>
      </c>
      <c r="E60" t="s">
        <v>64</v>
      </c>
      <c r="F60" t="s">
        <v>65</v>
      </c>
      <c r="G60" t="s">
        <v>66</v>
      </c>
    </row>
    <row r="61" spans="1:9">
      <c r="B61">
        <v>1.18</v>
      </c>
      <c r="C61">
        <v>3.38</v>
      </c>
      <c r="D61">
        <v>0.54</v>
      </c>
      <c r="E61">
        <v>2.17</v>
      </c>
      <c r="G61">
        <v>0.08</v>
      </c>
    </row>
    <row r="62" spans="1:9">
      <c r="B62">
        <v>1.2</v>
      </c>
      <c r="C62">
        <v>3.44</v>
      </c>
      <c r="D62">
        <v>1.03</v>
      </c>
      <c r="E62">
        <v>1.32</v>
      </c>
      <c r="G62">
        <v>0.09</v>
      </c>
    </row>
    <row r="63" spans="1:9">
      <c r="B63">
        <v>1.1599999999999999</v>
      </c>
      <c r="C63">
        <v>4.0199999999999996</v>
      </c>
      <c r="D63">
        <v>1.1100000000000001</v>
      </c>
      <c r="E63">
        <v>1.34</v>
      </c>
      <c r="G63">
        <v>0.09</v>
      </c>
    </row>
    <row r="64" spans="1:9">
      <c r="B64">
        <v>1.1499999999999999</v>
      </c>
      <c r="C64">
        <v>4.05</v>
      </c>
      <c r="D64">
        <v>1.07</v>
      </c>
      <c r="E64">
        <v>3.03</v>
      </c>
      <c r="G64">
        <v>0.09</v>
      </c>
    </row>
    <row r="65" spans="2:7">
      <c r="B65">
        <v>1.35</v>
      </c>
      <c r="C65">
        <v>4.2699999999999996</v>
      </c>
      <c r="D65">
        <v>1.06</v>
      </c>
      <c r="E65">
        <v>3.04</v>
      </c>
      <c r="G65">
        <v>0.1</v>
      </c>
    </row>
  </sheetData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B14E-F3A3-4B15-8BA8-ED15E5E703A3}">
  <dimension ref="C17:C20"/>
  <sheetViews>
    <sheetView tabSelected="1" topLeftCell="A24" zoomScale="130" zoomScaleNormal="130" workbookViewId="0">
      <selection activeCell="H35" sqref="H35"/>
    </sheetView>
  </sheetViews>
  <sheetFormatPr defaultColWidth="11.42578125" defaultRowHeight="15"/>
  <sheetData>
    <row r="17" spans="3:3">
      <c r="C17" t="s">
        <v>235</v>
      </c>
    </row>
    <row r="18" spans="3:3">
      <c r="C18" t="s">
        <v>236</v>
      </c>
    </row>
    <row r="19" spans="3:3">
      <c r="C19" t="s">
        <v>237</v>
      </c>
    </row>
    <row r="20" spans="3:3">
      <c r="C20" t="s">
        <v>238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0784A-A136-4464-A19D-7FA178FA21DF}">
  <dimension ref="B2:O41"/>
  <sheetViews>
    <sheetView workbookViewId="0">
      <selection activeCell="D6" sqref="D6"/>
    </sheetView>
  </sheetViews>
  <sheetFormatPr defaultColWidth="11.42578125" defaultRowHeight="15"/>
  <cols>
    <col min="3" max="3" width="17.85546875" customWidth="1"/>
    <col min="4" max="4" width="14.85546875" customWidth="1"/>
    <col min="5" max="5" width="12.7109375" customWidth="1"/>
    <col min="8" max="8" width="15.28515625" customWidth="1"/>
    <col min="9" max="9" width="14.28515625" customWidth="1"/>
    <col min="10" max="10" width="13.7109375" customWidth="1"/>
    <col min="13" max="13" width="17" customWidth="1"/>
  </cols>
  <sheetData>
    <row r="2" spans="2:15">
      <c r="C2" s="5" t="s">
        <v>239</v>
      </c>
      <c r="D2" s="5" t="s">
        <v>240</v>
      </c>
      <c r="E2" s="5" t="s">
        <v>241</v>
      </c>
      <c r="H2" s="6" t="s">
        <v>239</v>
      </c>
      <c r="I2" s="6" t="s">
        <v>240</v>
      </c>
      <c r="J2" s="6" t="s">
        <v>241</v>
      </c>
      <c r="M2" s="6" t="s">
        <v>239</v>
      </c>
      <c r="N2" s="6" t="s">
        <v>240</v>
      </c>
      <c r="O2" s="6" t="s">
        <v>241</v>
      </c>
    </row>
    <row r="3" spans="2:15">
      <c r="B3" s="4">
        <v>1</v>
      </c>
      <c r="C3" s="5"/>
      <c r="D3" s="5"/>
      <c r="E3" s="5"/>
      <c r="G3" s="8">
        <v>31</v>
      </c>
      <c r="H3" s="5"/>
      <c r="I3" s="5"/>
      <c r="J3" s="5"/>
      <c r="L3" s="5">
        <v>61</v>
      </c>
      <c r="M3" s="5"/>
      <c r="N3" s="5"/>
      <c r="O3" s="5"/>
    </row>
    <row r="4" spans="2:15">
      <c r="B4" s="4">
        <v>2</v>
      </c>
      <c r="C4" s="5"/>
      <c r="D4" s="5"/>
      <c r="E4" s="5"/>
      <c r="G4" s="8">
        <v>32</v>
      </c>
      <c r="H4" s="5"/>
      <c r="I4" s="5"/>
      <c r="J4" s="5"/>
      <c r="L4" s="5">
        <v>62</v>
      </c>
      <c r="M4" s="5"/>
      <c r="N4" s="5"/>
      <c r="O4" s="5"/>
    </row>
    <row r="5" spans="2:15">
      <c r="B5" s="4">
        <v>3</v>
      </c>
      <c r="C5" s="5"/>
      <c r="D5" s="5"/>
      <c r="E5" s="5"/>
      <c r="G5" s="8">
        <v>33</v>
      </c>
      <c r="H5" s="5"/>
      <c r="I5" s="5"/>
      <c r="J5" s="5"/>
      <c r="L5" s="5">
        <v>63</v>
      </c>
      <c r="M5" s="5"/>
      <c r="N5" s="5"/>
      <c r="O5" s="5"/>
    </row>
    <row r="6" spans="2:15">
      <c r="B6" s="4">
        <v>4</v>
      </c>
      <c r="C6" s="5"/>
      <c r="D6" s="5"/>
      <c r="E6" s="5"/>
      <c r="G6" s="8">
        <v>34</v>
      </c>
      <c r="H6" s="5"/>
      <c r="I6" s="5"/>
      <c r="J6" s="5"/>
      <c r="L6" s="10">
        <v>64</v>
      </c>
      <c r="M6" s="5"/>
      <c r="N6" s="5"/>
      <c r="O6" s="5"/>
    </row>
    <row r="7" spans="2:15">
      <c r="B7" s="4">
        <v>5</v>
      </c>
      <c r="C7" s="5"/>
      <c r="D7" s="5"/>
      <c r="E7" s="5"/>
      <c r="G7" s="8">
        <v>35</v>
      </c>
      <c r="H7" s="5"/>
      <c r="I7" s="5"/>
      <c r="J7" s="5"/>
      <c r="L7" s="10">
        <v>65</v>
      </c>
      <c r="M7" s="5"/>
      <c r="N7" s="5"/>
      <c r="O7" s="5"/>
    </row>
    <row r="8" spans="2:15">
      <c r="B8" s="4">
        <v>6</v>
      </c>
      <c r="C8" s="5"/>
      <c r="D8" s="5"/>
      <c r="E8" s="5"/>
      <c r="G8" s="9">
        <v>36</v>
      </c>
      <c r="H8" s="5"/>
      <c r="I8" s="5"/>
      <c r="J8" s="5"/>
      <c r="L8" s="10">
        <v>66</v>
      </c>
      <c r="M8" s="5"/>
      <c r="N8" s="5"/>
      <c r="O8" s="5"/>
    </row>
    <row r="9" spans="2:15">
      <c r="B9" s="4">
        <v>7</v>
      </c>
      <c r="C9" s="5"/>
      <c r="D9" s="5"/>
      <c r="E9" s="5"/>
      <c r="G9" s="9">
        <v>37</v>
      </c>
      <c r="H9" s="5"/>
      <c r="I9" s="5"/>
      <c r="J9" s="5"/>
      <c r="L9" s="10">
        <v>67</v>
      </c>
      <c r="M9" s="5"/>
      <c r="N9" s="5"/>
      <c r="O9" s="5"/>
    </row>
    <row r="10" spans="2:15">
      <c r="B10" s="4">
        <v>8</v>
      </c>
      <c r="C10" s="5"/>
      <c r="D10" s="5"/>
      <c r="E10" s="5"/>
      <c r="G10" s="9">
        <v>38</v>
      </c>
      <c r="H10" s="5"/>
      <c r="I10" s="5"/>
      <c r="J10" s="5"/>
      <c r="L10" s="10">
        <v>68</v>
      </c>
      <c r="M10" s="5"/>
      <c r="N10" s="5"/>
      <c r="O10" s="5"/>
    </row>
    <row r="11" spans="2:15">
      <c r="B11" s="4">
        <v>9</v>
      </c>
      <c r="C11" s="5"/>
      <c r="D11" s="5"/>
      <c r="E11" s="5"/>
      <c r="G11" s="9">
        <v>39</v>
      </c>
      <c r="H11" s="5"/>
      <c r="I11" s="5"/>
      <c r="J11" s="5"/>
      <c r="L11" s="10">
        <v>69</v>
      </c>
      <c r="M11" s="5"/>
      <c r="N11" s="5"/>
      <c r="O11" s="5"/>
    </row>
    <row r="12" spans="2:15">
      <c r="B12" s="4">
        <v>10</v>
      </c>
      <c r="C12" s="5"/>
      <c r="D12" s="5"/>
      <c r="E12" s="5"/>
      <c r="G12" s="11">
        <v>40</v>
      </c>
      <c r="H12" s="5"/>
      <c r="I12" s="5"/>
      <c r="J12" s="5"/>
      <c r="L12" s="10">
        <v>70</v>
      </c>
      <c r="M12" s="5"/>
      <c r="N12" s="5"/>
      <c r="O12" s="5"/>
    </row>
    <row r="13" spans="2:15">
      <c r="B13" s="4">
        <v>11</v>
      </c>
      <c r="C13" s="5"/>
      <c r="D13" s="5"/>
      <c r="E13" s="5"/>
      <c r="G13" s="11">
        <v>41</v>
      </c>
      <c r="H13" s="5"/>
      <c r="I13" s="5"/>
      <c r="J13" s="5"/>
      <c r="L13" s="10">
        <v>71</v>
      </c>
      <c r="M13" s="5"/>
      <c r="N13" s="5"/>
      <c r="O13" s="5"/>
    </row>
    <row r="14" spans="2:15">
      <c r="B14" s="4">
        <v>12</v>
      </c>
      <c r="C14" s="5"/>
      <c r="D14" s="5"/>
      <c r="E14" s="5"/>
      <c r="G14" s="11">
        <v>42</v>
      </c>
      <c r="H14" s="5"/>
      <c r="I14" s="5"/>
      <c r="J14" s="5"/>
      <c r="L14" s="10">
        <v>72</v>
      </c>
      <c r="M14" s="5"/>
      <c r="N14" s="5"/>
      <c r="O14" s="5"/>
    </row>
    <row r="15" spans="2:15">
      <c r="B15" s="4">
        <v>13</v>
      </c>
      <c r="C15" s="5"/>
      <c r="D15" s="5"/>
      <c r="E15" s="5"/>
      <c r="G15" s="11">
        <v>43</v>
      </c>
      <c r="H15" s="5"/>
      <c r="I15" s="5"/>
      <c r="J15" s="5"/>
      <c r="L15" s="10">
        <v>73</v>
      </c>
      <c r="M15" s="5"/>
      <c r="N15" s="5"/>
      <c r="O15" s="5"/>
    </row>
    <row r="16" spans="2:15">
      <c r="B16" s="4">
        <v>14</v>
      </c>
      <c r="C16" s="5"/>
      <c r="D16" s="5"/>
      <c r="E16" s="5"/>
      <c r="G16" s="11">
        <v>44</v>
      </c>
      <c r="H16" s="5"/>
      <c r="I16" s="5"/>
      <c r="J16" s="5"/>
      <c r="L16" s="10">
        <v>74</v>
      </c>
      <c r="M16" s="5"/>
      <c r="N16" s="5"/>
      <c r="O16" s="5"/>
    </row>
    <row r="17" spans="2:15">
      <c r="B17" s="4">
        <v>15</v>
      </c>
      <c r="C17" s="5"/>
      <c r="D17" s="5"/>
      <c r="E17" s="5"/>
      <c r="G17" s="8">
        <v>45</v>
      </c>
      <c r="H17" s="5"/>
      <c r="I17" s="5"/>
      <c r="J17" s="5"/>
      <c r="L17" s="10">
        <v>75</v>
      </c>
      <c r="M17" s="5"/>
      <c r="N17" s="5"/>
      <c r="O17" s="5"/>
    </row>
    <row r="18" spans="2:15">
      <c r="B18" s="4">
        <v>16</v>
      </c>
      <c r="C18" s="5"/>
      <c r="D18" s="5"/>
      <c r="E18" s="5"/>
      <c r="G18" s="8">
        <v>46</v>
      </c>
      <c r="H18" s="5"/>
      <c r="I18" s="5"/>
      <c r="J18" s="5"/>
      <c r="L18" s="10">
        <v>76</v>
      </c>
      <c r="M18" s="5"/>
      <c r="N18" s="5"/>
      <c r="O18" s="5"/>
    </row>
    <row r="19" spans="2:15">
      <c r="B19" s="4">
        <v>17</v>
      </c>
      <c r="C19" s="5"/>
      <c r="D19" s="5"/>
      <c r="E19" s="5"/>
      <c r="G19" s="8">
        <v>47</v>
      </c>
      <c r="H19" s="5"/>
      <c r="I19" s="5"/>
      <c r="J19" s="5"/>
      <c r="L19" s="10">
        <v>77</v>
      </c>
      <c r="M19" s="5"/>
      <c r="N19" s="5"/>
      <c r="O19" s="5"/>
    </row>
    <row r="20" spans="2:15">
      <c r="B20" s="4">
        <v>18</v>
      </c>
      <c r="C20" s="5"/>
      <c r="D20" s="5"/>
      <c r="E20" s="5"/>
      <c r="G20" s="8">
        <v>48</v>
      </c>
      <c r="H20" s="5"/>
      <c r="I20" s="5"/>
      <c r="J20" s="5"/>
      <c r="L20" s="10">
        <v>78</v>
      </c>
      <c r="M20" s="5"/>
      <c r="N20" s="5"/>
      <c r="O20" s="5"/>
    </row>
    <row r="21" spans="2:15">
      <c r="B21" s="4">
        <v>19</v>
      </c>
      <c r="C21" s="5"/>
      <c r="D21" s="5"/>
      <c r="E21" s="5"/>
      <c r="G21" s="9">
        <v>49</v>
      </c>
      <c r="H21" s="5"/>
      <c r="I21" s="5"/>
      <c r="J21" s="5"/>
      <c r="L21" s="10">
        <v>79</v>
      </c>
      <c r="M21" s="5"/>
      <c r="N21" s="5"/>
      <c r="O21" s="5"/>
    </row>
    <row r="22" spans="2:15">
      <c r="B22" s="9">
        <v>20</v>
      </c>
      <c r="C22" s="5"/>
      <c r="D22" s="5"/>
      <c r="E22" s="5"/>
      <c r="G22" s="9">
        <v>50</v>
      </c>
      <c r="H22" s="5"/>
      <c r="I22" s="5"/>
      <c r="J22" s="5"/>
      <c r="L22" s="10">
        <v>80</v>
      </c>
      <c r="M22" s="5"/>
      <c r="N22" s="5"/>
      <c r="O22" s="5"/>
    </row>
    <row r="23" spans="2:15">
      <c r="B23" s="9">
        <v>21</v>
      </c>
      <c r="C23" s="5"/>
      <c r="D23" s="5"/>
      <c r="E23" s="5"/>
      <c r="G23" s="9">
        <v>51</v>
      </c>
      <c r="H23" s="5"/>
      <c r="I23" s="5"/>
      <c r="J23" s="5"/>
    </row>
    <row r="24" spans="2:15">
      <c r="B24" s="9">
        <v>22</v>
      </c>
      <c r="C24" s="5"/>
      <c r="D24" s="5"/>
      <c r="E24" s="5"/>
      <c r="G24" s="9">
        <v>52</v>
      </c>
      <c r="H24" s="5"/>
      <c r="I24" s="5"/>
      <c r="J24" s="5"/>
    </row>
    <row r="25" spans="2:15">
      <c r="B25" s="9">
        <v>23</v>
      </c>
      <c r="C25" s="5"/>
      <c r="D25" s="5"/>
      <c r="E25" s="5"/>
      <c r="G25" s="9">
        <v>53</v>
      </c>
      <c r="H25" s="5"/>
      <c r="I25" s="5"/>
      <c r="J25" s="5"/>
    </row>
    <row r="26" spans="2:15">
      <c r="B26" s="8">
        <v>24</v>
      </c>
      <c r="C26" s="5"/>
      <c r="D26" s="5"/>
      <c r="E26" s="5"/>
      <c r="G26" s="7">
        <v>54</v>
      </c>
      <c r="H26" s="5"/>
      <c r="I26" s="5"/>
      <c r="J26" s="5"/>
    </row>
    <row r="27" spans="2:15">
      <c r="B27" s="8">
        <v>25</v>
      </c>
      <c r="C27" s="5"/>
      <c r="D27" s="5"/>
      <c r="E27" s="5"/>
      <c r="G27" s="7">
        <v>55</v>
      </c>
      <c r="H27" s="5"/>
      <c r="I27" s="5"/>
      <c r="J27" s="5"/>
    </row>
    <row r="28" spans="2:15">
      <c r="B28" s="8">
        <v>26</v>
      </c>
      <c r="C28" s="5"/>
      <c r="D28" s="5"/>
      <c r="E28" s="5"/>
      <c r="G28" s="7">
        <v>56</v>
      </c>
      <c r="H28" s="5"/>
      <c r="I28" s="5"/>
      <c r="J28" s="5"/>
    </row>
    <row r="29" spans="2:15">
      <c r="B29" s="8">
        <v>27</v>
      </c>
      <c r="C29" s="5"/>
      <c r="D29" s="5"/>
      <c r="E29" s="5"/>
      <c r="G29" s="7">
        <v>57</v>
      </c>
      <c r="H29" s="5"/>
      <c r="I29" s="5"/>
      <c r="J29" s="5"/>
    </row>
    <row r="30" spans="2:15">
      <c r="B30" s="8">
        <v>28</v>
      </c>
      <c r="C30" s="5"/>
      <c r="D30" s="5"/>
      <c r="E30" s="5"/>
      <c r="G30" s="7">
        <v>58</v>
      </c>
      <c r="H30" s="5"/>
      <c r="I30" s="5"/>
      <c r="J30" s="5"/>
    </row>
    <row r="31" spans="2:15">
      <c r="B31" s="8">
        <v>29</v>
      </c>
      <c r="C31" s="5"/>
      <c r="D31" s="5"/>
      <c r="E31" s="5"/>
      <c r="G31" s="7">
        <v>59</v>
      </c>
      <c r="H31" s="5"/>
      <c r="I31" s="5"/>
      <c r="J31" s="5"/>
    </row>
    <row r="32" spans="2:15">
      <c r="B32" s="8">
        <v>30</v>
      </c>
      <c r="C32" s="5"/>
      <c r="D32" s="5"/>
      <c r="E32" s="5"/>
      <c r="G32" s="7">
        <v>60</v>
      </c>
      <c r="H32" s="5"/>
      <c r="I32" s="5"/>
      <c r="J32" s="5"/>
    </row>
    <row r="36" spans="3:3">
      <c r="C36" s="4" t="s">
        <v>242</v>
      </c>
    </row>
    <row r="37" spans="3:3">
      <c r="C37" s="7" t="s">
        <v>243</v>
      </c>
    </row>
    <row r="38" spans="3:3">
      <c r="C38" s="8" t="s">
        <v>244</v>
      </c>
    </row>
    <row r="39" spans="3:3">
      <c r="C39" s="9" t="s">
        <v>245</v>
      </c>
    </row>
    <row r="40" spans="3:3">
      <c r="C40" s="11" t="s">
        <v>246</v>
      </c>
    </row>
    <row r="41" spans="3:3">
      <c r="C41" s="10" t="s">
        <v>247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F760-4068-4285-A8C7-2E0385354F61}">
  <dimension ref="A2:S93"/>
  <sheetViews>
    <sheetView topLeftCell="A16" zoomScale="90" zoomScaleNormal="85" workbookViewId="0">
      <selection activeCell="K5" sqref="K5"/>
    </sheetView>
  </sheetViews>
  <sheetFormatPr defaultColWidth="11.42578125" defaultRowHeight="15"/>
  <cols>
    <col min="1" max="1" width="28.140625" customWidth="1"/>
    <col min="2" max="2" width="15.5703125" customWidth="1"/>
    <col min="3" max="4" width="17.7109375" customWidth="1"/>
    <col min="5" max="5" width="22.7109375" customWidth="1"/>
    <col min="6" max="6" width="21.7109375" customWidth="1"/>
    <col min="7" max="7" width="17.7109375" customWidth="1"/>
    <col min="8" max="8" width="17.28515625" customWidth="1"/>
    <col min="9" max="9" width="21.85546875" customWidth="1"/>
    <col min="10" max="10" width="17.140625" customWidth="1"/>
    <col min="11" max="11" width="20.28515625" customWidth="1"/>
    <col min="12" max="12" width="18.85546875" customWidth="1"/>
    <col min="13" max="13" width="28.85546875" customWidth="1"/>
  </cols>
  <sheetData>
    <row r="2" spans="1:19">
      <c r="J2" t="s">
        <v>0</v>
      </c>
    </row>
    <row r="3" spans="1:19">
      <c r="B3" s="29" t="s">
        <v>1</v>
      </c>
    </row>
    <row r="4" spans="1:19">
      <c r="A4" s="5" t="s">
        <v>2</v>
      </c>
      <c r="B4" s="5"/>
      <c r="C4" s="5" t="s">
        <v>3</v>
      </c>
      <c r="D4" s="5"/>
      <c r="E4" s="5" t="s">
        <v>4</v>
      </c>
      <c r="F4" s="5" t="s">
        <v>5</v>
      </c>
      <c r="G4" s="5" t="s">
        <v>6</v>
      </c>
      <c r="H4" s="5" t="s">
        <v>7</v>
      </c>
      <c r="I4" s="5"/>
      <c r="J4" s="5"/>
      <c r="K4" s="5"/>
      <c r="M4" s="5" t="s">
        <v>67</v>
      </c>
      <c r="N4" s="5">
        <f>+N5/N6</f>
        <v>3.9045553145336225</v>
      </c>
      <c r="O4" t="s">
        <v>68</v>
      </c>
      <c r="P4" s="5">
        <f>+P5/P6</f>
        <v>3.9045553145336225</v>
      </c>
      <c r="Q4" t="s">
        <v>69</v>
      </c>
      <c r="R4" s="5">
        <f>+R5/R6</f>
        <v>3.904555314533622</v>
      </c>
      <c r="S4" t="s">
        <v>69</v>
      </c>
    </row>
    <row r="5" spans="1:19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  <c r="J5" s="7" t="s">
        <v>18</v>
      </c>
      <c r="K5" s="7" t="s">
        <v>19</v>
      </c>
      <c r="M5" s="5" t="s">
        <v>70</v>
      </c>
      <c r="N5" s="5">
        <v>10800</v>
      </c>
      <c r="O5" t="s">
        <v>71</v>
      </c>
      <c r="P5" s="5">
        <v>2700</v>
      </c>
      <c r="Q5" t="s">
        <v>72</v>
      </c>
      <c r="R5" s="5">
        <v>540</v>
      </c>
      <c r="S5" t="s">
        <v>73</v>
      </c>
    </row>
    <row r="6" spans="1:19">
      <c r="B6" s="5">
        <f>0.51/0.6</f>
        <v>0.85000000000000009</v>
      </c>
      <c r="C6" s="5">
        <f>0.56/0.6</f>
        <v>0.93333333333333346</v>
      </c>
      <c r="D6" s="5">
        <f>0.41/0.6</f>
        <v>0.68333333333333335</v>
      </c>
      <c r="E6" s="5">
        <f>0.09/0.6</f>
        <v>0.15</v>
      </c>
      <c r="F6" s="5">
        <f>3+(0.02/0.6)</f>
        <v>3.0333333333333332</v>
      </c>
      <c r="G6" s="5">
        <v>2</v>
      </c>
      <c r="H6" s="5">
        <f>1+(0.15/0.6)</f>
        <v>1.25</v>
      </c>
      <c r="I6" s="5">
        <f>0.47/0.6</f>
        <v>0.78333333333333333</v>
      </c>
      <c r="J6" s="5"/>
      <c r="K6" s="5"/>
      <c r="M6" s="5" t="s">
        <v>74</v>
      </c>
      <c r="N6" s="5">
        <v>2766</v>
      </c>
      <c r="O6" t="s">
        <v>75</v>
      </c>
      <c r="P6" s="5">
        <f>+N6/4</f>
        <v>691.5</v>
      </c>
      <c r="Q6" t="s">
        <v>76</v>
      </c>
      <c r="R6" s="5">
        <f>+P6/5</f>
        <v>138.30000000000001</v>
      </c>
      <c r="S6" t="s">
        <v>77</v>
      </c>
    </row>
    <row r="7" spans="1:19">
      <c r="B7" s="5">
        <f>0.53/0.6</f>
        <v>0.88333333333333341</v>
      </c>
      <c r="C7" s="5">
        <f>0.51/0.6</f>
        <v>0.85000000000000009</v>
      </c>
      <c r="D7" s="5">
        <f>0.42/0.6</f>
        <v>0.7</v>
      </c>
      <c r="E7" s="5">
        <f>0.1/0.6</f>
        <v>0.16666666666666669</v>
      </c>
      <c r="F7" s="5">
        <f>3+(0.18/60)</f>
        <v>3.0030000000000001</v>
      </c>
      <c r="G7" s="5">
        <f>1+(0.41/0.6)</f>
        <v>1.6833333333333333</v>
      </c>
      <c r="H7" s="5">
        <f>1+(0.08/0.6)</f>
        <v>1.1333333333333333</v>
      </c>
      <c r="I7" s="5">
        <f>0.47/0.6</f>
        <v>0.78333333333333333</v>
      </c>
      <c r="J7" s="5"/>
      <c r="K7" s="5" t="s">
        <v>8</v>
      </c>
    </row>
    <row r="8" spans="1:19">
      <c r="B8" s="5">
        <f>0.49/0.6</f>
        <v>0.81666666666666665</v>
      </c>
      <c r="C8" s="5">
        <f>1+(0.21/0.6)</f>
        <v>1.35</v>
      </c>
      <c r="D8" s="5">
        <f>0.31/0.6</f>
        <v>0.51666666666666672</v>
      </c>
      <c r="E8" s="5">
        <f>0.09/0.6</f>
        <v>0.15</v>
      </c>
      <c r="F8" s="5">
        <v>3.37</v>
      </c>
      <c r="G8" s="5">
        <f>2+(0.02/0.6)</f>
        <v>2.0333333333333332</v>
      </c>
      <c r="H8" s="5">
        <f>1+(0.2/0.6)</f>
        <v>1.3333333333333335</v>
      </c>
      <c r="I8" s="5">
        <f>0.52/0.6</f>
        <v>0.8666666666666667</v>
      </c>
      <c r="J8" s="5"/>
      <c r="K8" s="5"/>
    </row>
    <row r="9" spans="1:19">
      <c r="B9" s="5">
        <f>0.5/0.6</f>
        <v>0.83333333333333337</v>
      </c>
      <c r="C9" s="5">
        <f>1+(0.18/0.6)</f>
        <v>1.3</v>
      </c>
      <c r="D9" s="5">
        <f>0.48/0.6</f>
        <v>0.8</v>
      </c>
      <c r="E9" s="5">
        <f>0.11/0.6</f>
        <v>0.18333333333333335</v>
      </c>
      <c r="F9" s="5">
        <f>6+(0.16/0.6)</f>
        <v>6.2666666666666666</v>
      </c>
      <c r="G9" s="5">
        <f>1+(0.34/0.6)</f>
        <v>1.5666666666666669</v>
      </c>
      <c r="H9" s="5">
        <f>1+(0.19/0.6)</f>
        <v>1.3166666666666667</v>
      </c>
      <c r="I9" s="5">
        <f>0.49/0.6</f>
        <v>0.81666666666666665</v>
      </c>
      <c r="J9" s="5"/>
      <c r="K9" s="5"/>
    </row>
    <row r="10" spans="1:19">
      <c r="B10" s="6">
        <f>0.51/0.6</f>
        <v>0.85000000000000009</v>
      </c>
      <c r="C10" s="6">
        <f>1+(0.15/0.6)</f>
        <v>1.25</v>
      </c>
      <c r="D10" s="6">
        <f>1+(0.02/0.6)</f>
        <v>1.0333333333333334</v>
      </c>
      <c r="E10" s="6">
        <f>0.09/0.6</f>
        <v>0.15</v>
      </c>
      <c r="F10" s="6">
        <f>3+(0.15/0.6)</f>
        <v>3.25</v>
      </c>
      <c r="G10" s="6">
        <f>1+(0.2/0.6)</f>
        <v>1.3333333333333335</v>
      </c>
      <c r="H10" s="6">
        <f>1+(0.16/0.6)</f>
        <v>1.2666666666666666</v>
      </c>
      <c r="I10" s="6">
        <f>0.48/0.6</f>
        <v>0.8</v>
      </c>
      <c r="J10" s="6"/>
      <c r="K10" s="6"/>
    </row>
    <row r="11" spans="1:19">
      <c r="A11" s="12" t="s">
        <v>20</v>
      </c>
      <c r="B11" s="13">
        <f>+SUM(B6:B10)</f>
        <v>4.2333333333333334</v>
      </c>
      <c r="C11" s="13">
        <f>+SUM(C6:C10)</f>
        <v>5.6833333333333336</v>
      </c>
      <c r="D11" s="13">
        <f t="shared" ref="D11:K11" si="0">+SUM(D6:D10)</f>
        <v>3.7333333333333334</v>
      </c>
      <c r="E11" s="13">
        <f t="shared" si="0"/>
        <v>0.8</v>
      </c>
      <c r="F11" s="13">
        <f t="shared" si="0"/>
        <v>18.922999999999998</v>
      </c>
      <c r="G11" s="13">
        <f>+SUM(G6:G10)</f>
        <v>8.6166666666666671</v>
      </c>
      <c r="H11" s="13">
        <f t="shared" si="0"/>
        <v>6.3</v>
      </c>
      <c r="I11" s="13">
        <f t="shared" si="0"/>
        <v>4.05</v>
      </c>
      <c r="J11" s="13">
        <f t="shared" si="0"/>
        <v>0</v>
      </c>
      <c r="K11" s="13">
        <f t="shared" si="0"/>
        <v>0</v>
      </c>
      <c r="L11" s="22" t="s">
        <v>78</v>
      </c>
      <c r="M11" s="22" t="s">
        <v>79</v>
      </c>
    </row>
    <row r="12" spans="1:19">
      <c r="A12" s="5" t="s">
        <v>80</v>
      </c>
      <c r="B12" s="5">
        <f>+B11/5</f>
        <v>0.84666666666666668</v>
      </c>
      <c r="C12" s="5">
        <f>+C11/5</f>
        <v>1.1366666666666667</v>
      </c>
      <c r="D12" s="5">
        <f t="shared" ref="D12:K12" si="1">+D11/5</f>
        <v>0.7466666666666667</v>
      </c>
      <c r="E12" s="5">
        <f t="shared" si="1"/>
        <v>0.16</v>
      </c>
      <c r="F12" s="5">
        <f t="shared" si="1"/>
        <v>3.7845999999999997</v>
      </c>
      <c r="G12" s="5">
        <f t="shared" si="1"/>
        <v>1.7233333333333334</v>
      </c>
      <c r="H12" s="5">
        <f t="shared" si="1"/>
        <v>1.26</v>
      </c>
      <c r="I12" s="5">
        <f t="shared" si="1"/>
        <v>0.80999999999999994</v>
      </c>
      <c r="J12" s="5">
        <f t="shared" si="1"/>
        <v>0</v>
      </c>
      <c r="K12" s="5">
        <f t="shared" si="1"/>
        <v>0</v>
      </c>
      <c r="L12" s="5">
        <f>+SUM(F12:K12)</f>
        <v>7.5779333333333323</v>
      </c>
      <c r="M12" s="5">
        <f>540/(L12+L14)</f>
        <v>61.964812401530466</v>
      </c>
      <c r="N12" t="s">
        <v>81</v>
      </c>
    </row>
    <row r="13" spans="1:19">
      <c r="A13" s="12" t="s">
        <v>82</v>
      </c>
      <c r="B13" s="13">
        <v>0.51</v>
      </c>
      <c r="C13" s="13">
        <v>1.08</v>
      </c>
      <c r="D13" s="13">
        <f>+D12*0.6</f>
        <v>0.44800000000000001</v>
      </c>
      <c r="E13" s="13">
        <f>+E12*0.6</f>
        <v>9.6000000000000002E-2</v>
      </c>
      <c r="F13" s="13">
        <f>3+(0.7846*0.6)</f>
        <v>3.4707599999999998</v>
      </c>
      <c r="G13" s="13">
        <f>1+(0.7233*0.6)</f>
        <v>1.43398</v>
      </c>
      <c r="H13" s="13">
        <f>1+(0.26*0.6)</f>
        <v>1.1559999999999999</v>
      </c>
      <c r="I13" s="13">
        <f>+I12*0.6</f>
        <v>0.48599999999999993</v>
      </c>
      <c r="J13" s="13"/>
      <c r="K13" s="13"/>
      <c r="L13" s="22" t="s">
        <v>83</v>
      </c>
      <c r="M13" s="22" t="s">
        <v>84</v>
      </c>
    </row>
    <row r="14" spans="1:19">
      <c r="A14" s="5" t="s">
        <v>85</v>
      </c>
      <c r="B14" s="5">
        <f>+B12*0.15</f>
        <v>0.127</v>
      </c>
      <c r="C14" s="5">
        <f t="shared" ref="C14:K14" si="2">+C12*0.15</f>
        <v>0.17050000000000001</v>
      </c>
      <c r="D14" s="5">
        <f t="shared" si="2"/>
        <v>0.112</v>
      </c>
      <c r="E14" s="5">
        <f t="shared" si="2"/>
        <v>2.4E-2</v>
      </c>
      <c r="F14" s="5">
        <f t="shared" si="2"/>
        <v>0.56768999999999992</v>
      </c>
      <c r="G14" s="5">
        <f t="shared" si="2"/>
        <v>0.25850000000000001</v>
      </c>
      <c r="H14" s="5">
        <f t="shared" si="2"/>
        <v>0.189</v>
      </c>
      <c r="I14" s="5">
        <f t="shared" si="2"/>
        <v>0.12149999999999998</v>
      </c>
      <c r="J14" s="5">
        <f t="shared" si="2"/>
        <v>0</v>
      </c>
      <c r="K14" s="5">
        <f t="shared" si="2"/>
        <v>0</v>
      </c>
      <c r="L14" s="27">
        <f>+SUM(F14:K14)</f>
        <v>1.13669</v>
      </c>
      <c r="M14" s="5">
        <f>660/(L12+L14)</f>
        <v>75.734770712981671</v>
      </c>
      <c r="N14" t="s">
        <v>81</v>
      </c>
    </row>
    <row r="15" spans="1:19">
      <c r="A15" s="12" t="s">
        <v>86</v>
      </c>
      <c r="B15" s="5">
        <f>540/(B12+B14)</f>
        <v>554.60458747004452</v>
      </c>
      <c r="C15" s="5">
        <f t="shared" ref="C15:K15" si="3">540/(C12+C14)</f>
        <v>413.10722937651406</v>
      </c>
      <c r="D15" s="5">
        <f t="shared" si="3"/>
        <v>628.88198757763973</v>
      </c>
      <c r="E15" s="5">
        <f>540/(E12+E14)</f>
        <v>2934.782608695652</v>
      </c>
      <c r="F15" s="5">
        <f t="shared" si="3"/>
        <v>124.07261464654239</v>
      </c>
      <c r="G15" s="5">
        <f t="shared" si="3"/>
        <v>272.47498107812629</v>
      </c>
      <c r="H15" s="5">
        <f t="shared" si="3"/>
        <v>372.67080745341616</v>
      </c>
      <c r="I15" s="5">
        <f t="shared" si="3"/>
        <v>579.71014492753625</v>
      </c>
      <c r="J15" s="5" t="e">
        <f t="shared" si="3"/>
        <v>#DIV/0!</v>
      </c>
      <c r="K15" s="5" t="e">
        <f t="shared" si="3"/>
        <v>#DIV/0!</v>
      </c>
    </row>
    <row r="17" spans="1:15">
      <c r="B17" s="29" t="s">
        <v>22</v>
      </c>
    </row>
    <row r="18" spans="1:15">
      <c r="A18" s="5" t="s">
        <v>2</v>
      </c>
      <c r="B18" s="5"/>
      <c r="C18" s="5"/>
      <c r="D18" s="5"/>
      <c r="E18" s="5"/>
      <c r="F18" s="5"/>
      <c r="G18" s="5"/>
    </row>
    <row r="19" spans="1:15">
      <c r="A19" s="5" t="s">
        <v>9</v>
      </c>
      <c r="B19" s="5" t="s">
        <v>23</v>
      </c>
      <c r="C19" s="5" t="s">
        <v>24</v>
      </c>
      <c r="D19" s="5" t="s">
        <v>25</v>
      </c>
      <c r="E19" s="5" t="s">
        <v>26</v>
      </c>
      <c r="F19" s="5" t="s">
        <v>87</v>
      </c>
      <c r="G19" s="5" t="s">
        <v>28</v>
      </c>
    </row>
    <row r="20" spans="1:15">
      <c r="B20" s="5">
        <f>(0.45/0.6)*2</f>
        <v>1.5</v>
      </c>
      <c r="C20" s="5">
        <f>(0.07/0.6)*2</f>
        <v>0.23333333333333336</v>
      </c>
      <c r="D20" s="5">
        <f>1+(0.01/0.6)</f>
        <v>1.0166666666666666</v>
      </c>
      <c r="E20" s="5">
        <f>0.23/0.6</f>
        <v>0.38333333333333336</v>
      </c>
      <c r="F20" s="5">
        <f>0.04/0.6</f>
        <v>6.6666666666666666E-2</v>
      </c>
      <c r="G20" s="5">
        <f>0.32/0.6</f>
        <v>0.53333333333333333</v>
      </c>
    </row>
    <row r="21" spans="1:15">
      <c r="B21" s="5">
        <f>(0.49/0.6)*2</f>
        <v>1.6333333333333333</v>
      </c>
      <c r="C21" s="5">
        <f>(0.06/0.6)*2</f>
        <v>0.2</v>
      </c>
      <c r="D21" s="5">
        <f>0.44/0.6</f>
        <v>0.73333333333333339</v>
      </c>
      <c r="E21" s="5">
        <f>0.2/0.6</f>
        <v>0.33333333333333337</v>
      </c>
      <c r="F21" s="5">
        <f>0.03/0.6</f>
        <v>0.05</v>
      </c>
      <c r="G21" s="5">
        <f>0.48/0.6</f>
        <v>0.8</v>
      </c>
    </row>
    <row r="22" spans="1:15">
      <c r="B22" s="5">
        <f>(0.44/0.6)*2</f>
        <v>1.4666666666666668</v>
      </c>
      <c r="C22" s="5">
        <f>(0.06/0.6)*2</f>
        <v>0.2</v>
      </c>
      <c r="D22" s="5">
        <f>1+(0.14/0.6)</f>
        <v>1.2333333333333334</v>
      </c>
      <c r="E22" s="5">
        <f>0.22/0.6</f>
        <v>0.3666666666666667</v>
      </c>
      <c r="F22" s="5">
        <f>0.03/0.6</f>
        <v>0.05</v>
      </c>
      <c r="G22" s="5">
        <f>0.49/0.6</f>
        <v>0.81666666666666665</v>
      </c>
    </row>
    <row r="23" spans="1:15">
      <c r="B23" s="5">
        <f>(0.44/0.6)*2</f>
        <v>1.4666666666666668</v>
      </c>
      <c r="C23" s="5">
        <f>(0.06/0.6)*2</f>
        <v>0.2</v>
      </c>
      <c r="D23" s="5">
        <f>1+(0.18/0.6)</f>
        <v>1.3</v>
      </c>
      <c r="E23" s="5">
        <f>0.29/0.6</f>
        <v>0.48333333333333334</v>
      </c>
      <c r="F23" s="5">
        <f>0.04/0.6</f>
        <v>6.6666666666666666E-2</v>
      </c>
      <c r="G23" s="5">
        <f>0.52/0.6</f>
        <v>0.8666666666666667</v>
      </c>
    </row>
    <row r="24" spans="1:15">
      <c r="B24" s="5">
        <f>(0.46/0.6)*2</f>
        <v>1.5333333333333334</v>
      </c>
      <c r="C24" s="5">
        <f>(0.07/0.6)*2</f>
        <v>0.23333333333333336</v>
      </c>
      <c r="D24" s="5">
        <f>1+(0.25/0.6)</f>
        <v>1.4166666666666667</v>
      </c>
      <c r="E24" s="5">
        <f>0.2/0.6</f>
        <v>0.33333333333333337</v>
      </c>
      <c r="F24" s="5">
        <f>0.03/0.6</f>
        <v>0.05</v>
      </c>
      <c r="G24" s="5">
        <f>0.47/0.6</f>
        <v>0.78333333333333333</v>
      </c>
    </row>
    <row r="25" spans="1:15">
      <c r="A25" s="12" t="s">
        <v>20</v>
      </c>
      <c r="B25" s="26">
        <f>+SUM(B20:B24)/5</f>
        <v>1.52</v>
      </c>
      <c r="C25" s="26">
        <f>+SUM(C20:C24)</f>
        <v>1.0666666666666667</v>
      </c>
      <c r="D25" s="26">
        <f>+SUM(D20:D24)</f>
        <v>5.7</v>
      </c>
      <c r="E25" s="26">
        <f>+SUM(E20:E24)</f>
        <v>1.9000000000000004</v>
      </c>
      <c r="F25" s="26">
        <f>+SUM(F20:F24)</f>
        <v>0.28333333333333333</v>
      </c>
      <c r="G25" s="26">
        <f>+SUM(G20:G24)</f>
        <v>3.8000000000000003</v>
      </c>
      <c r="H25" s="22" t="s">
        <v>78</v>
      </c>
      <c r="I25" s="22" t="s">
        <v>79</v>
      </c>
    </row>
    <row r="26" spans="1:15">
      <c r="A26" s="5" t="s">
        <v>80</v>
      </c>
      <c r="B26" s="5">
        <v>1.52</v>
      </c>
      <c r="C26" s="5">
        <f>+C25/5</f>
        <v>0.21333333333333332</v>
      </c>
      <c r="D26" s="5">
        <f t="shared" ref="D26" si="4">+D25/5</f>
        <v>1.1400000000000001</v>
      </c>
      <c r="E26" s="5">
        <f t="shared" ref="E26" si="5">+E25/5</f>
        <v>0.38000000000000006</v>
      </c>
      <c r="F26" s="5">
        <f t="shared" ref="F26" si="6">+F25/5</f>
        <v>5.6666666666666664E-2</v>
      </c>
      <c r="G26" s="5">
        <f t="shared" ref="G26" si="7">+G25/5</f>
        <v>0.76</v>
      </c>
      <c r="H26" s="5">
        <f>+SUM(B26:G26)</f>
        <v>4.07</v>
      </c>
      <c r="I26" s="5">
        <f>540/(H26+H28)</f>
        <v>115.37228928533276</v>
      </c>
      <c r="J26" t="s">
        <v>81</v>
      </c>
    </row>
    <row r="27" spans="1:15">
      <c r="A27" s="12" t="s">
        <v>82</v>
      </c>
      <c r="B27" s="13">
        <f>+B26*0.6</f>
        <v>0.91199999999999992</v>
      </c>
      <c r="C27" s="13">
        <f t="shared" ref="C27:G27" si="8">+C26*0.6</f>
        <v>0.12799999999999997</v>
      </c>
      <c r="D27" s="13">
        <f t="shared" si="8"/>
        <v>0.68400000000000005</v>
      </c>
      <c r="E27" s="13">
        <f t="shared" si="8"/>
        <v>0.22800000000000004</v>
      </c>
      <c r="F27" s="13">
        <f t="shared" si="8"/>
        <v>3.3999999999999996E-2</v>
      </c>
      <c r="G27" s="13">
        <f t="shared" si="8"/>
        <v>0.45599999999999996</v>
      </c>
      <c r="H27" s="22" t="s">
        <v>83</v>
      </c>
      <c r="I27" s="22" t="s">
        <v>84</v>
      </c>
    </row>
    <row r="28" spans="1:15">
      <c r="A28" s="5" t="s">
        <v>85</v>
      </c>
      <c r="B28" s="5">
        <f>+B26*0.15</f>
        <v>0.22799999999999998</v>
      </c>
      <c r="C28" s="5">
        <f>+C26*0.15</f>
        <v>3.1999999999999994E-2</v>
      </c>
      <c r="D28" s="5">
        <f t="shared" ref="D28:G28" si="9">+D26*0.15</f>
        <v>0.17100000000000001</v>
      </c>
      <c r="E28" s="5">
        <f t="shared" si="9"/>
        <v>5.7000000000000009E-2</v>
      </c>
      <c r="F28" s="5">
        <f t="shared" si="9"/>
        <v>8.4999999999999989E-3</v>
      </c>
      <c r="G28" s="5">
        <f t="shared" si="9"/>
        <v>0.11399999999999999</v>
      </c>
      <c r="H28" s="5">
        <f>+SUM(B28:G28)</f>
        <v>0.61049999999999993</v>
      </c>
      <c r="I28" s="5">
        <f>660/(H26+H28)</f>
        <v>141.01057579318447</v>
      </c>
      <c r="J28" t="s">
        <v>81</v>
      </c>
    </row>
    <row r="29" spans="1:15">
      <c r="A29" s="12" t="s">
        <v>86</v>
      </c>
      <c r="B29" s="13">
        <f>540/(B26+B28)</f>
        <v>308.9244851258581</v>
      </c>
      <c r="C29" s="13">
        <f>540/(C26+C28)</f>
        <v>2201.0869565217395</v>
      </c>
      <c r="D29" s="13">
        <f t="shared" ref="D29" si="10">540/(D26+D28)</f>
        <v>411.89931350114409</v>
      </c>
      <c r="E29" s="13">
        <f t="shared" ref="E29" si="11">540/(E26+E28)</f>
        <v>1235.6979405034324</v>
      </c>
      <c r="F29" s="13">
        <f t="shared" ref="F29" si="12">540/(F26+F28)</f>
        <v>8286.4450127877244</v>
      </c>
      <c r="G29" s="13">
        <f>540/(G26+G28)</f>
        <v>617.8489702517162</v>
      </c>
    </row>
    <row r="30" spans="1:15">
      <c r="B30" s="1" t="s">
        <v>29</v>
      </c>
      <c r="O30" t="s">
        <v>44</v>
      </c>
    </row>
    <row r="31" spans="1:15">
      <c r="A31" s="5" t="s">
        <v>2</v>
      </c>
      <c r="B31" s="5" t="s">
        <v>88</v>
      </c>
      <c r="C31" s="50" t="s">
        <v>89</v>
      </c>
      <c r="D31" s="50"/>
      <c r="E31" s="5" t="s">
        <v>90</v>
      </c>
      <c r="F31" s="5" t="s">
        <v>91</v>
      </c>
      <c r="G31" s="50" t="s">
        <v>92</v>
      </c>
      <c r="H31" s="50"/>
      <c r="I31" s="50" t="s">
        <v>93</v>
      </c>
      <c r="J31" s="50"/>
      <c r="K31" s="5" t="s">
        <v>94</v>
      </c>
      <c r="L31" s="5" t="s">
        <v>95</v>
      </c>
      <c r="M31" s="5"/>
      <c r="N31" s="5"/>
      <c r="O31" s="2" t="s">
        <v>45</v>
      </c>
    </row>
    <row r="32" spans="1:15">
      <c r="A32" s="5" t="s">
        <v>9</v>
      </c>
      <c r="B32" s="5" t="s">
        <v>33</v>
      </c>
      <c r="C32" s="5" t="s">
        <v>34</v>
      </c>
      <c r="D32" s="7" t="s">
        <v>96</v>
      </c>
      <c r="E32" s="5" t="s">
        <v>35</v>
      </c>
      <c r="F32" s="7" t="s">
        <v>97</v>
      </c>
      <c r="G32" s="5" t="s">
        <v>36</v>
      </c>
      <c r="H32" s="23" t="s">
        <v>98</v>
      </c>
      <c r="I32" s="5" t="s">
        <v>99</v>
      </c>
      <c r="J32" s="5" t="s">
        <v>39</v>
      </c>
      <c r="K32" s="5" t="s">
        <v>40</v>
      </c>
      <c r="L32" s="5" t="s">
        <v>41</v>
      </c>
      <c r="M32" s="23" t="s">
        <v>42</v>
      </c>
      <c r="N32" s="5" t="s">
        <v>43</v>
      </c>
    </row>
    <row r="33" spans="1:17">
      <c r="B33" s="5">
        <f>1+(0.37/0.6)</f>
        <v>1.6166666666666667</v>
      </c>
      <c r="C33" s="5">
        <f>1+(0.01/0.6)</f>
        <v>1.0166666666666666</v>
      </c>
      <c r="D33" s="5">
        <v>0.32</v>
      </c>
      <c r="E33" s="5">
        <f>1+(0.31/0.6)</f>
        <v>1.5166666666666666</v>
      </c>
      <c r="F33" s="5">
        <f>(0.45/0.6)+(0.49/0.6)</f>
        <v>1.5666666666666667</v>
      </c>
      <c r="G33" s="5">
        <v>0.3</v>
      </c>
      <c r="H33" s="5">
        <v>0.46</v>
      </c>
      <c r="I33" s="5">
        <v>0.35</v>
      </c>
      <c r="J33" s="5">
        <v>0.44</v>
      </c>
      <c r="K33" s="5">
        <v>2.4500000000000002</v>
      </c>
      <c r="L33" s="5">
        <v>0.32</v>
      </c>
      <c r="M33" s="5"/>
      <c r="N33" s="5">
        <v>0.18</v>
      </c>
    </row>
    <row r="34" spans="1:17">
      <c r="B34" s="5">
        <f>1+(0.25/0.6)</f>
        <v>1.4166666666666667</v>
      </c>
      <c r="C34" s="5">
        <f>0.54/0.6</f>
        <v>0.90000000000000013</v>
      </c>
      <c r="D34" s="5">
        <v>0.34</v>
      </c>
      <c r="E34" s="5">
        <v>1.43</v>
      </c>
      <c r="F34" s="5">
        <f>(0.56/0.6)+(0.45/0.6)</f>
        <v>1.6833333333333336</v>
      </c>
      <c r="G34" s="5">
        <v>0.47</v>
      </c>
      <c r="H34" s="5">
        <v>0.47</v>
      </c>
      <c r="I34" s="5">
        <v>0.28999999999999998</v>
      </c>
      <c r="J34" s="5">
        <v>0.31</v>
      </c>
      <c r="K34" s="5">
        <v>2.4500000000000002</v>
      </c>
      <c r="L34" s="5">
        <v>0.36</v>
      </c>
      <c r="M34" s="5"/>
      <c r="N34" s="5">
        <v>0.12</v>
      </c>
    </row>
    <row r="35" spans="1:17">
      <c r="B35" s="5">
        <f>1+(0.41/0.6)</f>
        <v>1.6833333333333333</v>
      </c>
      <c r="C35" s="5">
        <f>0.57/0.6</f>
        <v>0.95</v>
      </c>
      <c r="D35" s="5">
        <v>0.32</v>
      </c>
      <c r="E35" s="5">
        <v>1.26</v>
      </c>
      <c r="F35" s="5">
        <f>(0.55/0.6)+(0.42/0.6)</f>
        <v>1.6166666666666667</v>
      </c>
      <c r="G35" s="5">
        <v>0.37</v>
      </c>
      <c r="H35" s="5">
        <v>0.52</v>
      </c>
      <c r="I35" s="5">
        <v>0.32</v>
      </c>
      <c r="J35" s="5">
        <v>0.39</v>
      </c>
      <c r="K35" s="5">
        <v>2.38</v>
      </c>
      <c r="L35" s="5">
        <v>0.31</v>
      </c>
      <c r="M35" s="5"/>
      <c r="N35" s="5">
        <v>0.14000000000000001</v>
      </c>
    </row>
    <row r="36" spans="1:17">
      <c r="B36" s="5">
        <f>1+(0.19/0.6)</f>
        <v>1.3166666666666667</v>
      </c>
      <c r="C36" s="5">
        <f>0.58/0.6</f>
        <v>0.96666666666666667</v>
      </c>
      <c r="D36" s="5">
        <v>0.3</v>
      </c>
      <c r="E36" s="5">
        <v>1.39</v>
      </c>
      <c r="F36" s="5">
        <f>(0.48/0.6)+(1+(0.04/0.6))</f>
        <v>1.8666666666666667</v>
      </c>
      <c r="G36" s="5">
        <v>0.39</v>
      </c>
      <c r="H36" s="5">
        <v>0.51</v>
      </c>
      <c r="I36" s="5">
        <v>0.26</v>
      </c>
      <c r="J36" s="5">
        <v>0.28999999999999998</v>
      </c>
      <c r="K36" s="5">
        <v>2.41</v>
      </c>
      <c r="L36" s="5">
        <v>0.39</v>
      </c>
      <c r="M36" s="5"/>
      <c r="N36" s="5">
        <v>0.16</v>
      </c>
    </row>
    <row r="37" spans="1:17">
      <c r="B37" s="5">
        <f>2+(0.19/0.6)</f>
        <v>2.3166666666666669</v>
      </c>
      <c r="C37" s="5">
        <f>1+(0.14/0.6)</f>
        <v>1.2333333333333334</v>
      </c>
      <c r="D37" s="5">
        <v>0.35</v>
      </c>
      <c r="E37" s="5">
        <v>1.41</v>
      </c>
      <c r="F37" s="5">
        <f>(0.55/0.6)+(0.47/0.6)</f>
        <v>1.7000000000000002</v>
      </c>
      <c r="G37" s="5">
        <v>0.36</v>
      </c>
      <c r="H37" s="5">
        <v>0.41</v>
      </c>
      <c r="I37" s="5">
        <v>1.06</v>
      </c>
      <c r="J37" s="5">
        <v>0.33</v>
      </c>
      <c r="K37" s="5">
        <v>2.31</v>
      </c>
      <c r="L37" s="5">
        <v>0.38</v>
      </c>
      <c r="M37" s="5"/>
      <c r="N37" s="5">
        <v>0.19</v>
      </c>
    </row>
    <row r="38" spans="1:17">
      <c r="A38" s="12" t="s">
        <v>20</v>
      </c>
      <c r="B38" s="13">
        <f>+SUM(B33:B37)</f>
        <v>8.35</v>
      </c>
      <c r="C38" s="13">
        <f>+SUM(C33:C37)</f>
        <v>5.0666666666666664</v>
      </c>
      <c r="D38" s="13">
        <f>+SUM(D33:D37)</f>
        <v>1.63</v>
      </c>
      <c r="E38" s="13">
        <f t="shared" ref="E38:F38" si="13">+SUM(E33:E37)</f>
        <v>7.0066666666666659</v>
      </c>
      <c r="F38" s="13">
        <f t="shared" si="13"/>
        <v>8.4333333333333336</v>
      </c>
      <c r="G38" s="13">
        <f t="shared" ref="G38" si="14">+SUM(G33:G37)</f>
        <v>1.8900000000000001</v>
      </c>
      <c r="H38" s="13">
        <f t="shared" ref="H38" si="15">+SUM(H33:H37)</f>
        <v>2.37</v>
      </c>
      <c r="I38" s="13">
        <f>+SUM(I33:I37)</f>
        <v>2.2800000000000002</v>
      </c>
      <c r="J38" s="13">
        <f t="shared" ref="J38" si="16">+SUM(J33:J37)</f>
        <v>1.7600000000000002</v>
      </c>
      <c r="K38" s="13">
        <f t="shared" ref="K38" si="17">+SUM(K33:K37)</f>
        <v>12.000000000000002</v>
      </c>
      <c r="L38" s="13">
        <f t="shared" ref="L38" si="18">+SUM(L33:L37)</f>
        <v>1.7599999999999998</v>
      </c>
      <c r="M38" s="13">
        <f t="shared" ref="M38:N38" si="19">+SUM(M33:M37)</f>
        <v>0</v>
      </c>
      <c r="N38" s="13">
        <f t="shared" si="19"/>
        <v>0.79</v>
      </c>
      <c r="O38" s="22" t="s">
        <v>78</v>
      </c>
      <c r="P38" s="22" t="s">
        <v>79</v>
      </c>
    </row>
    <row r="39" spans="1:17">
      <c r="A39" s="5" t="s">
        <v>80</v>
      </c>
      <c r="B39" s="5">
        <f>+B38/5</f>
        <v>1.67</v>
      </c>
      <c r="C39" s="5">
        <f>+C38/5</f>
        <v>1.0133333333333332</v>
      </c>
      <c r="D39" s="5">
        <f>+D38/5</f>
        <v>0.32599999999999996</v>
      </c>
      <c r="E39" s="5">
        <f t="shared" ref="E39:F39" si="20">+E38/5</f>
        <v>1.4013333333333331</v>
      </c>
      <c r="F39" s="5">
        <f t="shared" si="20"/>
        <v>1.6866666666666668</v>
      </c>
      <c r="G39" s="5">
        <f t="shared" ref="G39" si="21">+G38/5</f>
        <v>0.378</v>
      </c>
      <c r="H39" s="5">
        <f t="shared" ref="H39" si="22">+H38/5</f>
        <v>0.47400000000000003</v>
      </c>
      <c r="I39" s="5">
        <f t="shared" ref="I39" si="23">+I38/5</f>
        <v>0.45600000000000007</v>
      </c>
      <c r="J39" s="5">
        <f t="shared" ref="J39" si="24">+J38/5</f>
        <v>0.35200000000000004</v>
      </c>
      <c r="K39" s="5">
        <f t="shared" ref="K39" si="25">+K38/5</f>
        <v>2.4000000000000004</v>
      </c>
      <c r="L39" s="5">
        <f t="shared" ref="L39" si="26">+L38/5</f>
        <v>0.35199999999999998</v>
      </c>
      <c r="M39" s="5">
        <f t="shared" ref="M39:N39" si="27">+M38/5</f>
        <v>0</v>
      </c>
      <c r="N39" s="5">
        <f t="shared" si="27"/>
        <v>0.158</v>
      </c>
      <c r="O39" s="5">
        <f>+SUM(I39:N39)</f>
        <v>3.718</v>
      </c>
      <c r="P39" s="5">
        <f>540/(O39+O41)</f>
        <v>126.29510957270153</v>
      </c>
      <c r="Q39" t="s">
        <v>81</v>
      </c>
    </row>
    <row r="40" spans="1:17">
      <c r="A40" s="12" t="s">
        <v>82</v>
      </c>
      <c r="B40" s="13">
        <f>+AVERAGE(B33:B37)</f>
        <v>1.67</v>
      </c>
      <c r="C40" s="13">
        <v>1.08</v>
      </c>
      <c r="D40" s="13">
        <f>+D39*0.6</f>
        <v>0.19559999999999997</v>
      </c>
      <c r="E40" s="13">
        <v>0.45</v>
      </c>
      <c r="F40" s="13">
        <v>0.45</v>
      </c>
      <c r="G40" s="13">
        <v>0.1</v>
      </c>
      <c r="H40" s="13">
        <f>3+(0.7846*0.6)</f>
        <v>3.4707599999999998</v>
      </c>
      <c r="I40" s="13"/>
      <c r="J40" s="13"/>
      <c r="K40" s="13"/>
      <c r="L40" s="13"/>
      <c r="M40" s="13"/>
      <c r="N40" s="13"/>
      <c r="O40" s="22" t="s">
        <v>83</v>
      </c>
      <c r="P40" s="22" t="s">
        <v>84</v>
      </c>
    </row>
    <row r="41" spans="1:17">
      <c r="A41" s="5" t="s">
        <v>85</v>
      </c>
      <c r="B41" s="5">
        <f>+B39*0.15</f>
        <v>0.2505</v>
      </c>
      <c r="C41" s="5">
        <f t="shared" ref="C41:N41" si="28">+C39*0.15</f>
        <v>0.15199999999999997</v>
      </c>
      <c r="D41" s="5">
        <f>+D39*0.15</f>
        <v>4.8899999999999992E-2</v>
      </c>
      <c r="E41" s="5">
        <f t="shared" si="28"/>
        <v>0.21019999999999997</v>
      </c>
      <c r="F41" s="5">
        <f t="shared" si="28"/>
        <v>0.253</v>
      </c>
      <c r="G41" s="5">
        <f t="shared" si="28"/>
        <v>5.67E-2</v>
      </c>
      <c r="H41" s="5">
        <f t="shared" si="28"/>
        <v>7.1099999999999997E-2</v>
      </c>
      <c r="I41" s="5">
        <f t="shared" si="28"/>
        <v>6.8400000000000002E-2</v>
      </c>
      <c r="J41" s="5">
        <f t="shared" si="28"/>
        <v>5.2800000000000007E-2</v>
      </c>
      <c r="K41" s="5">
        <f t="shared" si="28"/>
        <v>0.36000000000000004</v>
      </c>
      <c r="L41" s="5">
        <f t="shared" si="28"/>
        <v>5.2799999999999993E-2</v>
      </c>
      <c r="M41" s="5">
        <f t="shared" si="28"/>
        <v>0</v>
      </c>
      <c r="N41" s="5">
        <f t="shared" si="28"/>
        <v>2.3699999999999999E-2</v>
      </c>
      <c r="O41" s="5">
        <f>+SUM(I41:N41)</f>
        <v>0.55770000000000008</v>
      </c>
      <c r="P41" s="5">
        <f>660/(O39+O41)</f>
        <v>154.36068947774632</v>
      </c>
      <c r="Q41" t="s">
        <v>81</v>
      </c>
    </row>
    <row r="42" spans="1:17">
      <c r="A42" s="12" t="s">
        <v>86</v>
      </c>
      <c r="B42" s="13">
        <f>540/(B39+B41)</f>
        <v>281.1767768810206</v>
      </c>
      <c r="C42" s="13">
        <f t="shared" ref="C42" si="29">540/(C39+C41)</f>
        <v>463.38672768878729</v>
      </c>
      <c r="D42" s="13">
        <f t="shared" ref="D42" si="30">540/(D39+D41)</f>
        <v>1440.384102427314</v>
      </c>
      <c r="E42" s="13">
        <f t="shared" ref="E42" si="31">540/(E39+E41)</f>
        <v>335.08459851900886</v>
      </c>
      <c r="F42" s="13">
        <f>540/(F39+F41)</f>
        <v>278.39835023199862</v>
      </c>
      <c r="G42" s="13">
        <f>540/(G39+G41)</f>
        <v>1242.2360248447205</v>
      </c>
      <c r="H42" s="13">
        <f>540/(H39+H41)</f>
        <v>990.64391854705548</v>
      </c>
      <c r="I42" s="13">
        <f t="shared" ref="I42:N42" si="32">540/(I39+I41)</f>
        <v>1029.7482837528603</v>
      </c>
      <c r="J42" s="13">
        <f t="shared" si="32"/>
        <v>1333.99209486166</v>
      </c>
      <c r="K42" s="13">
        <f t="shared" si="32"/>
        <v>195.65217391304347</v>
      </c>
      <c r="L42" s="13">
        <f t="shared" si="32"/>
        <v>1333.99209486166</v>
      </c>
      <c r="M42" s="13" t="e">
        <f t="shared" si="32"/>
        <v>#DIV/0!</v>
      </c>
      <c r="N42" s="13">
        <f t="shared" si="32"/>
        <v>2971.9317556411665</v>
      </c>
    </row>
    <row r="45" spans="1:17">
      <c r="B45" s="1" t="s">
        <v>46</v>
      </c>
    </row>
    <row r="46" spans="1:17">
      <c r="A46" s="5" t="s">
        <v>2</v>
      </c>
      <c r="B46" s="5"/>
      <c r="C46" s="5" t="s">
        <v>100</v>
      </c>
      <c r="D46" s="5"/>
      <c r="H46">
        <f>+G39+H39+G41+H41</f>
        <v>0.9798</v>
      </c>
      <c r="L46">
        <v>0.57899999999999996</v>
      </c>
    </row>
    <row r="47" spans="1:17">
      <c r="A47" s="5" t="s">
        <v>9</v>
      </c>
      <c r="B47" s="5" t="s">
        <v>47</v>
      </c>
      <c r="C47" s="7" t="s">
        <v>101</v>
      </c>
      <c r="D47" s="5" t="s">
        <v>102</v>
      </c>
      <c r="H47">
        <f>540/H46</f>
        <v>551.13288426209431</v>
      </c>
      <c r="L47">
        <v>0.43540000000000001</v>
      </c>
    </row>
    <row r="48" spans="1:17">
      <c r="B48" s="25">
        <f>0.55/0.6</f>
        <v>0.91666666666666674</v>
      </c>
      <c r="C48" s="25">
        <f>1+(0.17/0.6)</f>
        <v>1.2833333333333334</v>
      </c>
      <c r="D48" s="25">
        <f>0.5/0.6</f>
        <v>0.83333333333333337</v>
      </c>
      <c r="L48">
        <v>0.499</v>
      </c>
    </row>
    <row r="49" spans="1:12">
      <c r="B49" s="5">
        <f>0.44/0.6</f>
        <v>0.73333333333333339</v>
      </c>
      <c r="C49" s="5">
        <f>1+(0.14/0.6)</f>
        <v>1.2333333333333334</v>
      </c>
      <c r="D49" s="5">
        <f>0.27/0.6</f>
        <v>0.45000000000000007</v>
      </c>
      <c r="L49">
        <v>0.40529999999999999</v>
      </c>
    </row>
    <row r="50" spans="1:12">
      <c r="B50" s="5">
        <v>1</v>
      </c>
      <c r="C50" s="5">
        <f>1+(0.17/0.6)</f>
        <v>1.2833333333333334</v>
      </c>
      <c r="D50" s="5">
        <f>0.28/0.6</f>
        <v>0.46666666666666673</v>
      </c>
      <c r="L50">
        <v>0.41249999999999998</v>
      </c>
    </row>
    <row r="51" spans="1:12">
      <c r="B51" s="5">
        <f>0.54/0.6</f>
        <v>0.90000000000000013</v>
      </c>
      <c r="C51" s="5">
        <f>1+(0.18/0.6)</f>
        <v>1.3</v>
      </c>
      <c r="D51" s="5">
        <f>0.26/0.6</f>
        <v>0.43333333333333335</v>
      </c>
      <c r="L51">
        <v>0.45900000000000002</v>
      </c>
    </row>
    <row r="52" spans="1:12">
      <c r="B52" s="5">
        <f>0.43/0.6</f>
        <v>0.71666666666666667</v>
      </c>
      <c r="C52" s="5">
        <f>1+(0.11/0.6)</f>
        <v>1.1833333333333333</v>
      </c>
      <c r="D52" s="5">
        <f>0.24/0.6</f>
        <v>0.4</v>
      </c>
      <c r="L52">
        <v>0.42480000000000001</v>
      </c>
    </row>
    <row r="53" spans="1:12">
      <c r="A53" s="12" t="s">
        <v>20</v>
      </c>
      <c r="B53" s="13">
        <f>+SUM(B48:B52)</f>
        <v>4.2666666666666675</v>
      </c>
      <c r="C53" s="13">
        <f>+SUM(C48:C52)</f>
        <v>6.2833333333333332</v>
      </c>
      <c r="D53" s="13">
        <f t="shared" ref="D53" si="33">+SUM(D48:D52)</f>
        <v>2.5833333333333335</v>
      </c>
      <c r="E53" s="22" t="s">
        <v>78</v>
      </c>
      <c r="F53" s="22" t="s">
        <v>79</v>
      </c>
      <c r="L53">
        <v>0.42509999999999998</v>
      </c>
    </row>
    <row r="54" spans="1:12">
      <c r="A54" s="5" t="s">
        <v>80</v>
      </c>
      <c r="B54" s="5">
        <f>+B53/5</f>
        <v>0.8533333333333335</v>
      </c>
      <c r="C54" s="5">
        <f>+C53/5</f>
        <v>1.2566666666666666</v>
      </c>
      <c r="D54" s="5">
        <f t="shared" ref="D54" si="34">+D53/5</f>
        <v>0.51666666666666672</v>
      </c>
      <c r="E54" s="5">
        <f>+SUM(B54:D54)</f>
        <v>2.6266666666666669</v>
      </c>
      <c r="F54" s="5">
        <f>540/(E54+E56)</f>
        <v>178.76848377841534</v>
      </c>
      <c r="G54" t="s">
        <v>81</v>
      </c>
      <c r="L54">
        <v>0.41810000000000003</v>
      </c>
    </row>
    <row r="55" spans="1:12">
      <c r="A55" s="12" t="s">
        <v>82</v>
      </c>
      <c r="B55" s="13"/>
      <c r="C55" s="13"/>
      <c r="D55" s="13"/>
      <c r="E55" s="22" t="s">
        <v>83</v>
      </c>
      <c r="F55" s="22" t="s">
        <v>84</v>
      </c>
      <c r="K55" t="s">
        <v>21</v>
      </c>
      <c r="L55">
        <f>+AVERAGE(L46:L54)</f>
        <v>0.45091111111111115</v>
      </c>
    </row>
    <row r="56" spans="1:12">
      <c r="A56" s="5" t="s">
        <v>85</v>
      </c>
      <c r="B56" s="5">
        <f>+B54*0.15</f>
        <v>0.12800000000000003</v>
      </c>
      <c r="C56" s="5">
        <f t="shared" ref="C56:D56" si="35">+C54*0.15</f>
        <v>0.18849999999999997</v>
      </c>
      <c r="D56" s="5">
        <f t="shared" si="35"/>
        <v>7.7499999999999999E-2</v>
      </c>
      <c r="E56" s="5">
        <f>+SUM(B56:D56)</f>
        <v>0.39400000000000002</v>
      </c>
      <c r="F56" s="5">
        <f>660/(E54+E56)</f>
        <v>218.49481350695208</v>
      </c>
      <c r="G56" t="s">
        <v>81</v>
      </c>
      <c r="L56">
        <f>+L55*0.15</f>
        <v>6.7636666666666664E-2</v>
      </c>
    </row>
    <row r="57" spans="1:12">
      <c r="A57" s="12" t="s">
        <v>86</v>
      </c>
      <c r="B57" s="13">
        <f>540/(B54+B56)</f>
        <v>550.27173913043464</v>
      </c>
      <c r="C57" s="13">
        <f t="shared" ref="C57" si="36">540/(C54+C56)</f>
        <v>373.65932418406186</v>
      </c>
      <c r="D57" s="13">
        <f t="shared" ref="D57" si="37">540/(D54+D56)</f>
        <v>908.83590462833092</v>
      </c>
      <c r="K57" t="s">
        <v>103</v>
      </c>
      <c r="L57">
        <f>+L55+L56</f>
        <v>0.51854777777777783</v>
      </c>
    </row>
    <row r="59" spans="1:12">
      <c r="K59" t="s">
        <v>104</v>
      </c>
      <c r="L59">
        <f>540/L57</f>
        <v>1041.3698084179534</v>
      </c>
    </row>
    <row r="64" spans="1:12">
      <c r="B64" s="29" t="s">
        <v>51</v>
      </c>
    </row>
    <row r="65" spans="1:10">
      <c r="A65" s="5" t="s">
        <v>2</v>
      </c>
      <c r="B65" s="5"/>
      <c r="C65" s="5" t="s">
        <v>105</v>
      </c>
      <c r="D65" s="5" t="s">
        <v>106</v>
      </c>
      <c r="E65" s="5" t="s">
        <v>107</v>
      </c>
      <c r="F65" s="5" t="s">
        <v>108</v>
      </c>
      <c r="G65" s="5" t="s">
        <v>109</v>
      </c>
      <c r="H65" s="5" t="s">
        <v>110</v>
      </c>
      <c r="I65" s="5"/>
      <c r="J65" s="5" t="s">
        <v>111</v>
      </c>
    </row>
    <row r="66" spans="1:10">
      <c r="A66" s="5" t="s">
        <v>9</v>
      </c>
      <c r="B66" s="5" t="s">
        <v>52</v>
      </c>
      <c r="C66" s="5" t="s">
        <v>53</v>
      </c>
      <c r="D66" s="5" t="s">
        <v>54</v>
      </c>
      <c r="E66" s="5" t="s">
        <v>55</v>
      </c>
      <c r="F66" s="5" t="s">
        <v>56</v>
      </c>
      <c r="G66" s="7" t="s">
        <v>56</v>
      </c>
      <c r="H66" s="23" t="s">
        <v>57</v>
      </c>
      <c r="I66" s="5" t="s">
        <v>58</v>
      </c>
      <c r="J66" s="24" t="s">
        <v>59</v>
      </c>
    </row>
    <row r="67" spans="1:10">
      <c r="B67" s="5">
        <f>0.4/0.6</f>
        <v>0.66666666666666674</v>
      </c>
      <c r="C67" s="5">
        <f>0.58/0.6</f>
        <v>0.96666666666666667</v>
      </c>
      <c r="D67" s="5">
        <f>1+(0.32/0.6)</f>
        <v>1.5333333333333332</v>
      </c>
      <c r="E67" s="5">
        <f>1+(0.5/0.6)</f>
        <v>1.8333333333333335</v>
      </c>
      <c r="F67" s="5">
        <f>1+(0.17/0.6)</f>
        <v>1.2833333333333334</v>
      </c>
      <c r="G67" s="5"/>
      <c r="H67" s="5">
        <f>0.4/0.6</f>
        <v>0.66666666666666674</v>
      </c>
      <c r="I67" s="5">
        <f>0.23/0.6</f>
        <v>0.38333333333333336</v>
      </c>
      <c r="J67" s="5">
        <v>1.1100000000000001</v>
      </c>
    </row>
    <row r="68" spans="1:10">
      <c r="B68" s="5">
        <f>0.37/0.6</f>
        <v>0.6166666666666667</v>
      </c>
      <c r="C68" s="5">
        <f>0.54/0.6</f>
        <v>0.90000000000000013</v>
      </c>
      <c r="D68" s="5">
        <f>1+(0.39/0.6)</f>
        <v>1.65</v>
      </c>
      <c r="E68" s="5">
        <f>1+(0.33/0.6)</f>
        <v>1.55</v>
      </c>
      <c r="F68" s="5">
        <f>1+(0.26/0.6)</f>
        <v>1.4333333333333333</v>
      </c>
      <c r="G68" s="5"/>
      <c r="H68" s="5">
        <f>0.49/0.6</f>
        <v>0.81666666666666665</v>
      </c>
      <c r="I68" s="5">
        <f>0.2/0.6</f>
        <v>0.33333333333333337</v>
      </c>
      <c r="J68" s="5">
        <v>1.57</v>
      </c>
    </row>
    <row r="69" spans="1:10">
      <c r="B69" s="5">
        <f>0.42/0.6</f>
        <v>0.7</v>
      </c>
      <c r="C69" s="5">
        <f>0.54/0.6</f>
        <v>0.90000000000000013</v>
      </c>
      <c r="D69" s="5">
        <f>1+(0.43/0.6)</f>
        <v>1.7166666666666668</v>
      </c>
      <c r="E69" s="5">
        <f>1+(0.42/0.6)</f>
        <v>1.7</v>
      </c>
      <c r="F69" s="5">
        <f>1+(0.29/0.6)</f>
        <v>1.4833333333333334</v>
      </c>
      <c r="G69" s="5"/>
      <c r="H69" s="5">
        <f>0.53/0.6</f>
        <v>0.88333333333333341</v>
      </c>
      <c r="I69" s="5">
        <f>0.2/0.6</f>
        <v>0.33333333333333337</v>
      </c>
      <c r="J69" s="5">
        <v>1.1000000000000001</v>
      </c>
    </row>
    <row r="70" spans="1:10">
      <c r="B70" s="5">
        <f>0.39/0.6</f>
        <v>0.65</v>
      </c>
      <c r="C70" s="5">
        <f>0.59/0.6</f>
        <v>0.98333333333333328</v>
      </c>
      <c r="D70" s="5">
        <f>1+(0.37/0.6)</f>
        <v>1.6166666666666667</v>
      </c>
      <c r="E70" s="5">
        <f>1+(0.31/0.6)</f>
        <v>1.5166666666666666</v>
      </c>
      <c r="F70" s="5">
        <f>1+(0.35/0.6)</f>
        <v>1.5833333333333335</v>
      </c>
      <c r="G70" s="5"/>
      <c r="H70" s="5">
        <v>1.08</v>
      </c>
      <c r="I70" s="5">
        <f>0.21/0.6</f>
        <v>0.35</v>
      </c>
      <c r="J70" s="5">
        <v>1.1200000000000001</v>
      </c>
    </row>
    <row r="71" spans="1:10">
      <c r="B71" s="5">
        <f>0.43/0.6</f>
        <v>0.71666666666666667</v>
      </c>
      <c r="C71" s="5">
        <f>0.5/0.6</f>
        <v>0.83333333333333337</v>
      </c>
      <c r="D71" s="5">
        <f>1+(0.4/0.6)</f>
        <v>1.6666666666666667</v>
      </c>
      <c r="E71" s="5">
        <f>1+(0.28/0.6)</f>
        <v>1.4666666666666668</v>
      </c>
      <c r="F71" s="5">
        <f>2+(0.07/0.6)</f>
        <v>2.1166666666666667</v>
      </c>
      <c r="G71" s="5"/>
      <c r="H71" s="5">
        <f>0.56/0.6</f>
        <v>0.93333333333333346</v>
      </c>
      <c r="I71" s="5">
        <f>0.17/0.6</f>
        <v>0.28333333333333338</v>
      </c>
      <c r="J71" s="5">
        <v>1.29</v>
      </c>
    </row>
    <row r="72" spans="1:10">
      <c r="A72" s="12" t="s">
        <v>20</v>
      </c>
      <c r="B72" s="13">
        <f>+SUM(B67:B71)</f>
        <v>3.35</v>
      </c>
      <c r="C72" s="13">
        <f>+SUM(C67:C71)</f>
        <v>4.583333333333333</v>
      </c>
      <c r="D72" s="13">
        <f t="shared" ref="D72" si="38">+SUM(D67:D71)</f>
        <v>8.1833333333333336</v>
      </c>
      <c r="E72" s="13">
        <f t="shared" ref="E72" si="39">+SUM(E67:E71)</f>
        <v>8.0666666666666664</v>
      </c>
      <c r="F72" s="13">
        <f t="shared" ref="F72:G72" si="40">+SUM(F67:F71)</f>
        <v>7.9</v>
      </c>
      <c r="G72" s="13">
        <f t="shared" si="40"/>
        <v>0</v>
      </c>
      <c r="H72" s="13">
        <f>+SUM(H67:H71)</f>
        <v>4.38</v>
      </c>
      <c r="I72" s="13">
        <f t="shared" ref="I72" si="41">+SUM(I67:I71)</f>
        <v>1.6833333333333338</v>
      </c>
      <c r="J72" s="13">
        <f t="shared" ref="J72" si="42">+SUM(J67:J71)</f>
        <v>6.19</v>
      </c>
    </row>
    <row r="73" spans="1:10">
      <c r="A73" s="5" t="s">
        <v>80</v>
      </c>
      <c r="B73" s="5">
        <f>+B72/5</f>
        <v>0.67</v>
      </c>
      <c r="C73" s="5">
        <f>+C72/5</f>
        <v>0.91666666666666663</v>
      </c>
      <c r="D73" s="5">
        <f t="shared" ref="D73" si="43">+D72/5</f>
        <v>1.6366666666666667</v>
      </c>
      <c r="E73" s="5">
        <f t="shared" ref="E73" si="44">+E72/5</f>
        <v>1.6133333333333333</v>
      </c>
      <c r="F73" s="5">
        <f t="shared" ref="F73:G73" si="45">+F72/5</f>
        <v>1.58</v>
      </c>
      <c r="G73" s="5">
        <f t="shared" si="45"/>
        <v>0</v>
      </c>
      <c r="H73" s="5">
        <f t="shared" ref="H73" si="46">+H72/5</f>
        <v>0.876</v>
      </c>
      <c r="I73" s="5">
        <f t="shared" ref="I73" si="47">+I72/5</f>
        <v>0.33666666666666678</v>
      </c>
      <c r="J73" s="5">
        <f t="shared" ref="J73" si="48">+J72/5</f>
        <v>1.238</v>
      </c>
    </row>
    <row r="74" spans="1:10">
      <c r="A74" s="12" t="s">
        <v>82</v>
      </c>
      <c r="B74" s="13">
        <v>0.51</v>
      </c>
      <c r="C74" s="13">
        <v>1.08</v>
      </c>
      <c r="D74" s="13">
        <v>0.45</v>
      </c>
      <c r="E74" s="13">
        <v>0.1</v>
      </c>
      <c r="F74" s="13">
        <f>3+(0.7846*0.6)</f>
        <v>3.4707599999999998</v>
      </c>
      <c r="G74" s="13">
        <f>3+(0.7846*0.6)</f>
        <v>3.4707599999999998</v>
      </c>
      <c r="H74" s="13"/>
      <c r="I74" s="13"/>
      <c r="J74" s="13"/>
    </row>
    <row r="75" spans="1:10">
      <c r="A75" s="5" t="s">
        <v>85</v>
      </c>
      <c r="B75" s="5">
        <f>+B73*0.15</f>
        <v>0.10050000000000001</v>
      </c>
      <c r="C75" s="5">
        <f t="shared" ref="C75:J75" si="49">+C73*0.15</f>
        <v>0.13749999999999998</v>
      </c>
      <c r="D75" s="5">
        <f t="shared" si="49"/>
        <v>0.2455</v>
      </c>
      <c r="E75" s="5">
        <f t="shared" si="49"/>
        <v>0.24199999999999999</v>
      </c>
      <c r="F75" s="5">
        <f t="shared" si="49"/>
        <v>0.23699999999999999</v>
      </c>
      <c r="G75" s="5">
        <f t="shared" si="49"/>
        <v>0</v>
      </c>
      <c r="H75" s="5">
        <f t="shared" si="49"/>
        <v>0.13139999999999999</v>
      </c>
      <c r="I75" s="5">
        <f t="shared" si="49"/>
        <v>5.0500000000000017E-2</v>
      </c>
      <c r="J75" s="5">
        <f t="shared" si="49"/>
        <v>0.1857</v>
      </c>
    </row>
    <row r="76" spans="1:10">
      <c r="A76" s="12" t="s">
        <v>86</v>
      </c>
      <c r="B76" s="13">
        <f>540/(B73+B75)</f>
        <v>700.84360804672281</v>
      </c>
      <c r="C76" s="13">
        <f t="shared" ref="C76" si="50">540/(C73+C75)</f>
        <v>512.2529644268775</v>
      </c>
      <c r="D76" s="13">
        <f t="shared" ref="D76" si="51">540/(D73+D75)</f>
        <v>286.90339148144869</v>
      </c>
      <c r="E76" s="13">
        <f t="shared" ref="E76" si="52">540/(E73+E75)</f>
        <v>291.05282069708949</v>
      </c>
      <c r="F76" s="13">
        <f t="shared" ref="F76" si="53">540/(F73+F75)</f>
        <v>297.19317556411664</v>
      </c>
      <c r="G76" s="13" t="e">
        <f t="shared" ref="G76" si="54">540/(G73+G75)</f>
        <v>#DIV/0!</v>
      </c>
      <c r="H76" s="13">
        <f t="shared" ref="H76" si="55">540/(H73+H75)</f>
        <v>536.03335318642041</v>
      </c>
      <c r="I76" s="13">
        <f>540/(I73+I75)</f>
        <v>1394.7481704692204</v>
      </c>
      <c r="J76" s="13">
        <f>540/(J73+J75)</f>
        <v>379.29339046147362</v>
      </c>
    </row>
    <row r="78" spans="1:10">
      <c r="I78">
        <f>540/1.39</f>
        <v>388.48920863309354</v>
      </c>
    </row>
    <row r="81" spans="1:10">
      <c r="B81" s="29" t="s">
        <v>60</v>
      </c>
    </row>
    <row r="82" spans="1:10">
      <c r="A82" s="5" t="s">
        <v>2</v>
      </c>
      <c r="B82" s="5" t="s">
        <v>110</v>
      </c>
      <c r="C82" s="5" t="s">
        <v>112</v>
      </c>
      <c r="D82" s="5" t="s">
        <v>113</v>
      </c>
      <c r="E82" s="5" t="s">
        <v>114</v>
      </c>
      <c r="F82" s="5"/>
      <c r="G82" s="5" t="s">
        <v>115</v>
      </c>
      <c r="H82" s="5"/>
      <c r="I82" s="5"/>
    </row>
    <row r="83" spans="1:10">
      <c r="A83" s="5" t="s">
        <v>9</v>
      </c>
      <c r="B83" s="5" t="s">
        <v>61</v>
      </c>
      <c r="C83" s="5" t="s">
        <v>62</v>
      </c>
      <c r="D83" s="7" t="s">
        <v>62</v>
      </c>
      <c r="E83" s="7" t="s">
        <v>62</v>
      </c>
      <c r="F83" s="5" t="s">
        <v>63</v>
      </c>
      <c r="G83" s="5" t="s">
        <v>64</v>
      </c>
      <c r="H83" s="7" t="s">
        <v>65</v>
      </c>
      <c r="I83" s="5" t="s">
        <v>66</v>
      </c>
    </row>
    <row r="84" spans="1:10">
      <c r="B84" s="5">
        <f>1+(0.18/0.6)</f>
        <v>1.3</v>
      </c>
      <c r="C84" s="5">
        <v>3.38</v>
      </c>
      <c r="D84" s="5"/>
      <c r="E84" s="5"/>
      <c r="F84" s="5">
        <f>0.54/0.6</f>
        <v>0.90000000000000013</v>
      </c>
      <c r="G84" s="5">
        <f>2+(0.17/0.6)</f>
        <v>2.2833333333333332</v>
      </c>
      <c r="H84" s="5">
        <f>0.2/0.6</f>
        <v>0.33333333333333337</v>
      </c>
      <c r="I84" s="5">
        <f>0.08/0.6</f>
        <v>0.13333333333333333</v>
      </c>
    </row>
    <row r="85" spans="1:10">
      <c r="B85" s="5">
        <f>1+(0.2/0.6)</f>
        <v>1.3333333333333335</v>
      </c>
      <c r="C85" s="5">
        <v>3.44</v>
      </c>
      <c r="D85" s="5"/>
      <c r="E85" s="5"/>
      <c r="F85" s="5">
        <f>1+(0.03/0.6)</f>
        <v>1.05</v>
      </c>
      <c r="G85" s="5">
        <f>1+(0.32/0.6)</f>
        <v>1.5333333333333332</v>
      </c>
      <c r="H85" s="5">
        <f>0.22/0.6</f>
        <v>0.3666666666666667</v>
      </c>
      <c r="I85" s="5">
        <f>0.09/0.6</f>
        <v>0.15</v>
      </c>
    </row>
    <row r="86" spans="1:10">
      <c r="B86" s="5">
        <f>1+(0.16/0.6)</f>
        <v>1.2666666666666666</v>
      </c>
      <c r="C86" s="5">
        <v>4.0199999999999996</v>
      </c>
      <c r="D86" s="5"/>
      <c r="E86" s="5"/>
      <c r="F86" s="5">
        <f>1+(0.11/0.6)</f>
        <v>1.1833333333333333</v>
      </c>
      <c r="G86" s="5">
        <f>1+(0.34/0.6)</f>
        <v>1.5666666666666669</v>
      </c>
      <c r="H86" s="5">
        <f>0.23/0.6</f>
        <v>0.38333333333333336</v>
      </c>
      <c r="I86" s="5">
        <f>0.09/0.6</f>
        <v>0.15</v>
      </c>
    </row>
    <row r="87" spans="1:10">
      <c r="B87" s="5">
        <f>1+(0.15/0.6)</f>
        <v>1.25</v>
      </c>
      <c r="C87" s="5">
        <v>4.05</v>
      </c>
      <c r="D87" s="5"/>
      <c r="E87" s="5"/>
      <c r="F87" s="5">
        <f>1+(0.07/0.6)</f>
        <v>1.1166666666666667</v>
      </c>
      <c r="G87" s="5">
        <f>3+(0.03/0.6)</f>
        <v>3.05</v>
      </c>
      <c r="H87" s="5">
        <f>0.23/0.6</f>
        <v>0.38333333333333336</v>
      </c>
      <c r="I87" s="5">
        <f>0.09/0.6</f>
        <v>0.15</v>
      </c>
    </row>
    <row r="88" spans="1:10">
      <c r="B88" s="5">
        <f>1+(0.35/0.6)</f>
        <v>1.5833333333333335</v>
      </c>
      <c r="C88" s="5">
        <v>4.2699999999999996</v>
      </c>
      <c r="D88" s="5"/>
      <c r="E88" s="5"/>
      <c r="F88" s="5">
        <f>1+(0.06/0.6)</f>
        <v>1.1000000000000001</v>
      </c>
      <c r="G88" s="5">
        <f>3+(0.04/0.6)</f>
        <v>3.0666666666666669</v>
      </c>
      <c r="H88" s="5">
        <f>0.24/0.6</f>
        <v>0.4</v>
      </c>
      <c r="I88" s="5">
        <f>0.1/0.6</f>
        <v>0.16666666666666669</v>
      </c>
    </row>
    <row r="89" spans="1:10">
      <c r="A89" s="12" t="s">
        <v>20</v>
      </c>
      <c r="B89" s="13">
        <f>+SUM(B84:B88)</f>
        <v>6.7333333333333343</v>
      </c>
      <c r="C89" s="13">
        <f>+SUM(C84:C88)</f>
        <v>19.16</v>
      </c>
      <c r="D89" s="13">
        <f t="shared" ref="D89:E89" si="56">+SUM(D84:D88)</f>
        <v>0</v>
      </c>
      <c r="E89" s="13">
        <f t="shared" si="56"/>
        <v>0</v>
      </c>
      <c r="F89" s="13">
        <f t="shared" ref="F89" si="57">+SUM(F84:F88)</f>
        <v>5.35</v>
      </c>
      <c r="G89" s="13">
        <f t="shared" ref="G89" si="58">+SUM(G84:G88)</f>
        <v>11.5</v>
      </c>
      <c r="H89" s="13">
        <f t="shared" ref="H89" si="59">+SUM(H84:H88)</f>
        <v>1.8666666666666667</v>
      </c>
      <c r="I89" s="13">
        <f>+SUM(I84:I88)</f>
        <v>0.75</v>
      </c>
    </row>
    <row r="90" spans="1:10">
      <c r="A90" s="5" t="s">
        <v>80</v>
      </c>
      <c r="B90" s="5">
        <f>+B89/5</f>
        <v>1.3466666666666669</v>
      </c>
      <c r="C90" s="5">
        <f>+C89/5</f>
        <v>3.8319999999999999</v>
      </c>
      <c r="D90" s="5">
        <f t="shared" ref="D90:E90" si="60">+D89/5</f>
        <v>0</v>
      </c>
      <c r="E90" s="5">
        <f t="shared" si="60"/>
        <v>0</v>
      </c>
      <c r="F90" s="5">
        <f t="shared" ref="F90" si="61">+F89/5</f>
        <v>1.0699999999999998</v>
      </c>
      <c r="G90" s="5">
        <f t="shared" ref="G90" si="62">+G89/5</f>
        <v>2.2999999999999998</v>
      </c>
      <c r="H90" s="5">
        <f t="shared" ref="H90" si="63">+H89/5</f>
        <v>0.37333333333333335</v>
      </c>
      <c r="I90" s="5">
        <f t="shared" ref="I90" si="64">+I89/5</f>
        <v>0.15</v>
      </c>
    </row>
    <row r="91" spans="1:10">
      <c r="A91" s="12" t="s">
        <v>82</v>
      </c>
      <c r="B91" s="13">
        <f>1+(0.3466*0.6)</f>
        <v>1.2079599999999999</v>
      </c>
      <c r="C91" s="13">
        <f>3+(0.832*0.6)</f>
        <v>3.4992000000000001</v>
      </c>
      <c r="D91" s="13">
        <f t="shared" ref="D91:E91" si="65">3+(0.832*0.6)</f>
        <v>3.4992000000000001</v>
      </c>
      <c r="E91" s="13">
        <f t="shared" si="65"/>
        <v>3.4992000000000001</v>
      </c>
      <c r="F91" s="13">
        <f>1+(0.07*0.6)</f>
        <v>1.042</v>
      </c>
      <c r="G91" s="13">
        <f>2+(0.3*0.6)</f>
        <v>2.1800000000000002</v>
      </c>
      <c r="H91" s="13">
        <f>+H90*0.6</f>
        <v>0.224</v>
      </c>
      <c r="I91" s="13">
        <f>+I90*0.6</f>
        <v>0.09</v>
      </c>
    </row>
    <row r="92" spans="1:10">
      <c r="A92" s="5" t="s">
        <v>85</v>
      </c>
      <c r="B92" s="5">
        <f>+B90*(B90*0.15)</f>
        <v>0.27202666666666675</v>
      </c>
      <c r="C92" s="5">
        <f t="shared" ref="C92:J92" si="66">+C90*(C90*0.15)</f>
        <v>2.2026336</v>
      </c>
      <c r="D92" s="5">
        <f t="shared" si="66"/>
        <v>0</v>
      </c>
      <c r="E92" s="5">
        <f t="shared" si="66"/>
        <v>0</v>
      </c>
      <c r="F92" s="5">
        <f t="shared" si="66"/>
        <v>0.17173499999999994</v>
      </c>
      <c r="G92" s="5">
        <f t="shared" si="66"/>
        <v>0.79349999999999987</v>
      </c>
      <c r="H92" s="5">
        <f t="shared" si="66"/>
        <v>2.0906666666666667E-2</v>
      </c>
      <c r="I92" s="5">
        <f t="shared" si="66"/>
        <v>3.375E-3</v>
      </c>
      <c r="J92" s="5">
        <f t="shared" si="66"/>
        <v>0</v>
      </c>
    </row>
    <row r="93" spans="1:10">
      <c r="A93" s="12" t="s">
        <v>86</v>
      </c>
      <c r="B93" s="13">
        <f>540/(B90+B92)</f>
        <v>333.60241182188093</v>
      </c>
      <c r="C93" s="13">
        <f t="shared" ref="C93" si="67">540/(C90+C92)</f>
        <v>89.483477505577156</v>
      </c>
      <c r="D93" s="13" t="e">
        <f t="shared" ref="D93" si="68">540/(D90+D92)</f>
        <v>#DIV/0!</v>
      </c>
      <c r="E93" s="13" t="e">
        <f t="shared" ref="E93" si="69">540/(E90+E92)</f>
        <v>#DIV/0!</v>
      </c>
      <c r="F93" s="13">
        <f t="shared" ref="F93" si="70">540/(F90+F92)</f>
        <v>434.87539611913979</v>
      </c>
      <c r="G93" s="13">
        <f t="shared" ref="G93" si="71">540/(G90+G92)</f>
        <v>174.55956036851464</v>
      </c>
      <c r="H93" s="13">
        <f t="shared" ref="H93" si="72">540/(H90+H92)</f>
        <v>1369.7240259740258</v>
      </c>
      <c r="I93" s="13">
        <f t="shared" ref="I93" si="73">540/(I90+I92)</f>
        <v>3520.7823960880201</v>
      </c>
      <c r="J93" s="13" t="e">
        <f>540/(J90+J92)</f>
        <v>#DIV/0!</v>
      </c>
    </row>
  </sheetData>
  <mergeCells count="3">
    <mergeCell ref="C31:D31"/>
    <mergeCell ref="G31:H31"/>
    <mergeCell ref="I31:J31"/>
  </mergeCells>
  <phoneticPr fontId="5" type="noConversion"/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7D14-9D1C-42A5-A51C-01F21EE35C88}">
  <dimension ref="B2:R53"/>
  <sheetViews>
    <sheetView topLeftCell="A27" zoomScale="70" zoomScaleNormal="70" workbookViewId="0">
      <selection activeCell="H37" sqref="H37"/>
    </sheetView>
  </sheetViews>
  <sheetFormatPr defaultColWidth="11.42578125" defaultRowHeight="15"/>
  <cols>
    <col min="2" max="2" width="32.140625" customWidth="1"/>
    <col min="3" max="3" width="19.5703125" customWidth="1"/>
    <col min="4" max="4" width="25.28515625" customWidth="1"/>
    <col min="5" max="5" width="23.28515625" customWidth="1"/>
    <col min="6" max="6" width="19.28515625" customWidth="1"/>
    <col min="7" max="7" width="22.5703125" customWidth="1"/>
    <col min="8" max="8" width="23.85546875" customWidth="1"/>
    <col min="9" max="9" width="14.42578125" customWidth="1"/>
    <col min="10" max="10" width="15.28515625" customWidth="1"/>
    <col min="11" max="11" width="15.42578125" customWidth="1"/>
    <col min="12" max="12" width="14.42578125" customWidth="1"/>
    <col min="13" max="13" width="16" customWidth="1"/>
    <col min="14" max="14" width="17.42578125" customWidth="1"/>
    <col min="15" max="16" width="15.28515625" customWidth="1"/>
  </cols>
  <sheetData>
    <row r="2" spans="2:18">
      <c r="M2">
        <v>0.55000000000000004</v>
      </c>
      <c r="N2">
        <f>+M2/12</f>
        <v>4.5833333333333337E-2</v>
      </c>
    </row>
    <row r="4" spans="2:18">
      <c r="C4" s="1" t="s">
        <v>29</v>
      </c>
    </row>
    <row r="5" spans="2:18">
      <c r="B5" s="5" t="s">
        <v>2</v>
      </c>
      <c r="C5" s="5" t="s">
        <v>88</v>
      </c>
      <c r="D5" s="50" t="s">
        <v>89</v>
      </c>
      <c r="E5" s="50"/>
      <c r="F5" s="5" t="s">
        <v>90</v>
      </c>
      <c r="G5" s="5" t="s">
        <v>91</v>
      </c>
      <c r="H5" s="50" t="s">
        <v>92</v>
      </c>
      <c r="I5" s="50"/>
      <c r="J5" s="50" t="s">
        <v>116</v>
      </c>
      <c r="K5" s="50"/>
      <c r="L5" s="5" t="s">
        <v>117</v>
      </c>
      <c r="M5" s="5" t="s">
        <v>118</v>
      </c>
      <c r="N5" s="5" t="s">
        <v>118</v>
      </c>
      <c r="O5" s="5" t="s">
        <v>118</v>
      </c>
      <c r="P5" s="5" t="s">
        <v>118</v>
      </c>
    </row>
    <row r="6" spans="2:18">
      <c r="B6" s="5" t="s">
        <v>9</v>
      </c>
      <c r="C6" s="5" t="s">
        <v>33</v>
      </c>
      <c r="D6" s="5" t="s">
        <v>34</v>
      </c>
      <c r="E6" s="5" t="s">
        <v>96</v>
      </c>
      <c r="F6" s="5" t="s">
        <v>35</v>
      </c>
      <c r="G6" s="5" t="s">
        <v>97</v>
      </c>
      <c r="H6" s="5" t="s">
        <v>36</v>
      </c>
      <c r="I6" s="5" t="s">
        <v>98</v>
      </c>
      <c r="J6" s="5" t="s">
        <v>99</v>
      </c>
      <c r="K6" s="5" t="s">
        <v>39</v>
      </c>
      <c r="L6" s="5" t="s">
        <v>40</v>
      </c>
      <c r="M6" s="5" t="s">
        <v>41</v>
      </c>
      <c r="N6" s="5" t="s">
        <v>42</v>
      </c>
      <c r="O6" s="5" t="s">
        <v>119</v>
      </c>
      <c r="P6" s="5" t="s">
        <v>120</v>
      </c>
    </row>
    <row r="7" spans="2:18">
      <c r="C7" s="5">
        <f>1+(0.37/0.6)</f>
        <v>1.6166666666666667</v>
      </c>
      <c r="D7" s="5">
        <f>1+(0.01/0.6)</f>
        <v>1.0166666666666666</v>
      </c>
      <c r="E7" s="5">
        <v>0.32</v>
      </c>
      <c r="F7" s="5">
        <f>1+(0.31/0.6)</f>
        <v>1.5166666666666666</v>
      </c>
      <c r="G7" s="5">
        <f>+(0.45/0.6)+(0.49/0.6)</f>
        <v>1.5666666666666667</v>
      </c>
      <c r="H7" s="5">
        <v>0.3</v>
      </c>
      <c r="I7" s="5">
        <f>(0.46/0.6)*2</f>
        <v>1.5333333333333334</v>
      </c>
      <c r="J7" s="5">
        <f>0.35/0.6</f>
        <v>0.58333333333333337</v>
      </c>
      <c r="K7" s="5">
        <f>0.44/0.6</f>
        <v>0.73333333333333339</v>
      </c>
      <c r="L7" s="5">
        <v>2.4500000000000002</v>
      </c>
      <c r="M7" s="5">
        <f>0.32/0.6</f>
        <v>0.53333333333333333</v>
      </c>
      <c r="N7" s="5">
        <f>+$N$2</f>
        <v>4.5833333333333337E-2</v>
      </c>
      <c r="O7" s="5">
        <f>0.18/0.6</f>
        <v>0.3</v>
      </c>
      <c r="P7" s="5">
        <f>0.25/0.6</f>
        <v>0.41666666666666669</v>
      </c>
    </row>
    <row r="8" spans="2:18">
      <c r="C8" s="5">
        <f>1+(0.25/0.6)</f>
        <v>1.4166666666666667</v>
      </c>
      <c r="D8" s="5">
        <f>0.54/0.6</f>
        <v>0.90000000000000013</v>
      </c>
      <c r="E8" s="5">
        <v>0.34</v>
      </c>
      <c r="F8" s="5">
        <v>1.43</v>
      </c>
      <c r="G8" s="5">
        <f>(0.56/0.6)+(0.45/0.6)</f>
        <v>1.6833333333333336</v>
      </c>
      <c r="H8" s="5">
        <v>0.47</v>
      </c>
      <c r="I8" s="5">
        <f>(0.47/0.6)*2</f>
        <v>1.5666666666666667</v>
      </c>
      <c r="J8" s="5">
        <f>0.29/0.6</f>
        <v>0.48333333333333334</v>
      </c>
      <c r="K8" s="5">
        <f>0.31/0.6</f>
        <v>0.51666666666666672</v>
      </c>
      <c r="L8" s="5">
        <v>2.4500000000000002</v>
      </c>
      <c r="M8" s="5">
        <f>0.36/0.6</f>
        <v>0.6</v>
      </c>
      <c r="N8" s="5">
        <f t="shared" ref="N8:N11" si="0">+$N$2</f>
        <v>4.5833333333333337E-2</v>
      </c>
      <c r="O8" s="5">
        <f>0.12/0.6</f>
        <v>0.2</v>
      </c>
      <c r="P8" s="5">
        <f>0.26/0.6</f>
        <v>0.43333333333333335</v>
      </c>
    </row>
    <row r="9" spans="2:18">
      <c r="C9" s="5">
        <f>1+(0.41/0.6)</f>
        <v>1.6833333333333333</v>
      </c>
      <c r="D9" s="5">
        <f>0.57/0.6</f>
        <v>0.95</v>
      </c>
      <c r="E9" s="5">
        <v>0.32</v>
      </c>
      <c r="F9" s="5">
        <v>1.26</v>
      </c>
      <c r="G9" s="5">
        <f>(0.55/0.6)+(0.42/0.6)</f>
        <v>1.6166666666666667</v>
      </c>
      <c r="H9" s="5">
        <v>0.37</v>
      </c>
      <c r="I9" s="5">
        <f>(0.52/0.6)*2</f>
        <v>1.7333333333333334</v>
      </c>
      <c r="J9" s="5">
        <f>0.32/0.6</f>
        <v>0.53333333333333333</v>
      </c>
      <c r="K9" s="5">
        <f>0.39/0.6</f>
        <v>0.65</v>
      </c>
      <c r="L9" s="5">
        <v>2.38</v>
      </c>
      <c r="M9" s="5">
        <f>0.31/0.6</f>
        <v>0.51666666666666672</v>
      </c>
      <c r="N9" s="5">
        <f t="shared" si="0"/>
        <v>4.5833333333333337E-2</v>
      </c>
      <c r="O9" s="5">
        <f>0.14/0.6</f>
        <v>0.23333333333333336</v>
      </c>
      <c r="P9" s="5">
        <f>0.24/0.6</f>
        <v>0.4</v>
      </c>
    </row>
    <row r="10" spans="2:18">
      <c r="C10" s="5">
        <f>1+(0.19/0.6)</f>
        <v>1.3166666666666667</v>
      </c>
      <c r="D10" s="5">
        <f>0.58/0.6</f>
        <v>0.96666666666666667</v>
      </c>
      <c r="E10" s="5">
        <v>0.3</v>
      </c>
      <c r="F10" s="5">
        <v>1.39</v>
      </c>
      <c r="G10" s="5">
        <f>(0.48/0.6)+(1+(0.04/0.6))</f>
        <v>1.8666666666666667</v>
      </c>
      <c r="H10" s="5">
        <v>0.39</v>
      </c>
      <c r="I10" s="5">
        <f>(0.51/0.6)*2</f>
        <v>1.7000000000000002</v>
      </c>
      <c r="J10" s="5">
        <f>0.26/0.6</f>
        <v>0.43333333333333335</v>
      </c>
      <c r="K10" s="5">
        <f>0.29/0.6</f>
        <v>0.48333333333333334</v>
      </c>
      <c r="L10" s="5">
        <v>2.41</v>
      </c>
      <c r="M10" s="5">
        <f>0.39/0.6</f>
        <v>0.65</v>
      </c>
      <c r="N10" s="5">
        <f t="shared" si="0"/>
        <v>4.5833333333333337E-2</v>
      </c>
      <c r="O10" s="5">
        <f>0.16/0.6</f>
        <v>0.26666666666666666</v>
      </c>
      <c r="P10" s="5">
        <f>0.24/0.6</f>
        <v>0.4</v>
      </c>
    </row>
    <row r="11" spans="2:18">
      <c r="C11" s="5">
        <f>2+(0.19/0.6)</f>
        <v>2.3166666666666669</v>
      </c>
      <c r="D11" s="5">
        <f>1+(0.14/0.6)</f>
        <v>1.2333333333333334</v>
      </c>
      <c r="E11" s="5">
        <v>0.35</v>
      </c>
      <c r="F11" s="5">
        <v>1.41</v>
      </c>
      <c r="G11" s="5">
        <f>(0.55/0.6)+(0.47/0.6)</f>
        <v>1.7000000000000002</v>
      </c>
      <c r="H11" s="5">
        <v>0.36</v>
      </c>
      <c r="I11" s="5">
        <f>(0.41/0.6)*2</f>
        <v>1.3666666666666667</v>
      </c>
      <c r="J11" s="5">
        <f>1+(0.06/0.6)</f>
        <v>1.1000000000000001</v>
      </c>
      <c r="K11" s="5">
        <f>0.33/0.6</f>
        <v>0.55000000000000004</v>
      </c>
      <c r="L11" s="5" t="s">
        <v>121</v>
      </c>
      <c r="M11" s="5">
        <f>0.38/0.6</f>
        <v>0.63333333333333341</v>
      </c>
      <c r="N11" s="5">
        <f t="shared" si="0"/>
        <v>4.5833333333333337E-2</v>
      </c>
      <c r="O11" s="5">
        <f>0.19/0.6</f>
        <v>0.31666666666666671</v>
      </c>
      <c r="P11" s="5">
        <f>0.3/0.6</f>
        <v>0.5</v>
      </c>
    </row>
    <row r="12" spans="2:18">
      <c r="B12" s="12" t="s">
        <v>20</v>
      </c>
      <c r="C12" s="13">
        <f>+SUM(C7:C11)</f>
        <v>8.35</v>
      </c>
      <c r="D12" s="13">
        <f>+SUM(D7:D11)</f>
        <v>5.0666666666666664</v>
      </c>
      <c r="E12" s="13">
        <f>+SUM(E7:E11)</f>
        <v>1.63</v>
      </c>
      <c r="F12" s="13">
        <f t="shared" ref="F12:I12" si="1">+SUM(F7:F11)</f>
        <v>7.0066666666666659</v>
      </c>
      <c r="G12" s="13">
        <f t="shared" si="1"/>
        <v>8.4333333333333336</v>
      </c>
      <c r="H12" s="13">
        <f t="shared" si="1"/>
        <v>1.8900000000000001</v>
      </c>
      <c r="I12" s="13">
        <f t="shared" si="1"/>
        <v>7.9</v>
      </c>
      <c r="J12" s="13">
        <f>+SUM(J7:J11)</f>
        <v>3.1333333333333333</v>
      </c>
      <c r="K12" s="13">
        <f t="shared" ref="K12:P12" si="2">+SUM(K7:K11)</f>
        <v>2.9333333333333336</v>
      </c>
      <c r="L12" s="13">
        <f t="shared" si="2"/>
        <v>9.6900000000000013</v>
      </c>
      <c r="M12" s="13">
        <f t="shared" si="2"/>
        <v>2.9333333333333331</v>
      </c>
      <c r="N12" s="13">
        <f t="shared" si="2"/>
        <v>0.22916666666666669</v>
      </c>
      <c r="O12" s="13">
        <f t="shared" si="2"/>
        <v>1.3166666666666667</v>
      </c>
      <c r="P12" s="13">
        <f t="shared" si="2"/>
        <v>2.15</v>
      </c>
      <c r="Q12" s="22" t="s">
        <v>78</v>
      </c>
      <c r="R12" s="22" t="s">
        <v>79</v>
      </c>
    </row>
    <row r="13" spans="2:18">
      <c r="B13" s="5" t="s">
        <v>80</v>
      </c>
      <c r="C13" s="5">
        <f>+C12/5</f>
        <v>1.67</v>
      </c>
      <c r="D13" s="5">
        <f>+D12/5</f>
        <v>1.0133333333333332</v>
      </c>
      <c r="E13" s="5">
        <f>+E12/5</f>
        <v>0.32599999999999996</v>
      </c>
      <c r="F13" s="5">
        <f>+F12/5</f>
        <v>1.4013333333333331</v>
      </c>
      <c r="G13" s="5">
        <f>+G12/5</f>
        <v>1.6866666666666668</v>
      </c>
      <c r="H13" s="5">
        <f t="shared" ref="H13:N13" si="3">+H12/5</f>
        <v>0.378</v>
      </c>
      <c r="I13" s="5">
        <f t="shared" si="3"/>
        <v>1.58</v>
      </c>
      <c r="J13" s="5">
        <f t="shared" si="3"/>
        <v>0.62666666666666671</v>
      </c>
      <c r="K13" s="5">
        <f t="shared" si="3"/>
        <v>0.58666666666666667</v>
      </c>
      <c r="L13" s="5">
        <f t="shared" si="3"/>
        <v>1.9380000000000002</v>
      </c>
      <c r="M13" s="5">
        <f t="shared" si="3"/>
        <v>0.58666666666666667</v>
      </c>
      <c r="N13" s="5">
        <f t="shared" si="3"/>
        <v>4.5833333333333337E-2</v>
      </c>
      <c r="O13" s="5">
        <f>+O12/5</f>
        <v>0.26333333333333331</v>
      </c>
      <c r="P13" s="5">
        <f>+P12/5</f>
        <v>0.43</v>
      </c>
      <c r="Q13" s="5">
        <f>+SUM(C13:P13)</f>
        <v>12.532499999999999</v>
      </c>
      <c r="R13" s="5">
        <f>540/(Q13+Q15)</f>
        <v>41.097219658931131</v>
      </c>
    </row>
    <row r="14" spans="2:18">
      <c r="B14" s="12" t="s">
        <v>82</v>
      </c>
      <c r="C14" s="13">
        <f>1+(0.67*0.6)</f>
        <v>1.4020000000000001</v>
      </c>
      <c r="D14" s="13">
        <f>1+(0.0133/0.6)</f>
        <v>1.0221666666666667</v>
      </c>
      <c r="E14" s="13">
        <f>+E13*0.6</f>
        <v>0.19559999999999997</v>
      </c>
      <c r="F14" s="13">
        <f>1+(0.4013*0.6)</f>
        <v>1.24078</v>
      </c>
      <c r="G14" s="13">
        <f>1+(0.6866*0.6)</f>
        <v>1.4119600000000001</v>
      </c>
      <c r="H14" s="13">
        <f>+H13*0.6</f>
        <v>0.2268</v>
      </c>
      <c r="I14" s="13">
        <f>1+(0.58*0.6)</f>
        <v>1.3479999999999999</v>
      </c>
      <c r="J14" s="13"/>
      <c r="K14" s="13"/>
      <c r="L14" s="13"/>
      <c r="M14" s="13"/>
      <c r="N14" s="13"/>
      <c r="O14" s="13"/>
      <c r="Q14" s="22" t="s">
        <v>83</v>
      </c>
      <c r="R14" s="22" t="s">
        <v>84</v>
      </c>
    </row>
    <row r="15" spans="2:18">
      <c r="B15" s="5" t="s">
        <v>85</v>
      </c>
      <c r="C15" s="5">
        <f>+C13*0.15</f>
        <v>0.2505</v>
      </c>
      <c r="D15" s="5">
        <f t="shared" ref="D15:N15" si="4">+D13*0.15</f>
        <v>0.15199999999999997</v>
      </c>
      <c r="E15" s="5">
        <f>+E13*0.15</f>
        <v>4.8899999999999992E-2</v>
      </c>
      <c r="F15" s="5">
        <f>+F13*0.15</f>
        <v>0.21019999999999997</v>
      </c>
      <c r="G15" s="5">
        <f t="shared" si="4"/>
        <v>0.253</v>
      </c>
      <c r="H15" s="5">
        <f t="shared" si="4"/>
        <v>5.67E-2</v>
      </c>
      <c r="I15" s="5">
        <f>+I13*0.15</f>
        <v>0.23699999999999999</v>
      </c>
      <c r="J15" s="5">
        <f t="shared" si="4"/>
        <v>9.4E-2</v>
      </c>
      <c r="K15" s="5">
        <f t="shared" si="4"/>
        <v>8.7999999999999995E-2</v>
      </c>
      <c r="L15" s="5">
        <f t="shared" si="4"/>
        <v>0.29070000000000001</v>
      </c>
      <c r="M15" s="5">
        <f t="shared" si="4"/>
        <v>8.7999999999999995E-2</v>
      </c>
      <c r="N15" s="5">
        <f t="shared" si="4"/>
        <v>6.875E-3</v>
      </c>
      <c r="O15" s="5">
        <f>+O13*0.15</f>
        <v>3.9499999999999993E-2</v>
      </c>
      <c r="P15" s="5">
        <f>+P13*0.15</f>
        <v>6.4500000000000002E-2</v>
      </c>
      <c r="Q15" s="5">
        <f>+SUM(J15:O15)</f>
        <v>0.60707499999999992</v>
      </c>
      <c r="R15" s="5">
        <f>660/(Q13+Q15)</f>
        <v>50.229935138693605</v>
      </c>
    </row>
    <row r="16" spans="2:18">
      <c r="B16" s="12" t="s">
        <v>86</v>
      </c>
      <c r="C16" s="13">
        <f>540/(C13+C15)</f>
        <v>281.1767768810206</v>
      </c>
      <c r="D16" s="13">
        <f t="shared" ref="D16:F16" si="5">540/(D13+D15)</f>
        <v>463.38672768878729</v>
      </c>
      <c r="E16" s="13">
        <f t="shared" si="5"/>
        <v>1440.384102427314</v>
      </c>
      <c r="F16" s="13">
        <f t="shared" si="5"/>
        <v>335.08459851900886</v>
      </c>
      <c r="G16" s="13">
        <f>540/(G13+G15)</f>
        <v>278.39835023199862</v>
      </c>
      <c r="H16" s="13">
        <f>540/(H13+H15)</f>
        <v>1242.2360248447205</v>
      </c>
      <c r="I16" s="13">
        <f>540/(I13+I15)</f>
        <v>297.19317556411664</v>
      </c>
      <c r="J16" s="13">
        <f t="shared" ref="J16:N16" si="6">540/(J13+J15)</f>
        <v>749.30619796484734</v>
      </c>
      <c r="K16" s="13">
        <f t="shared" si="6"/>
        <v>800.39525691699612</v>
      </c>
      <c r="L16" s="13">
        <f t="shared" si="6"/>
        <v>242.2937138242024</v>
      </c>
      <c r="M16" s="13">
        <f t="shared" si="6"/>
        <v>800.39525691699612</v>
      </c>
      <c r="N16" s="13">
        <f t="shared" si="6"/>
        <v>10245.059288537548</v>
      </c>
      <c r="O16" s="13">
        <f>540/(O13+O15)</f>
        <v>1783.1590533847004</v>
      </c>
      <c r="P16" s="13">
        <f>540/(P13+P15)</f>
        <v>1092.0121334681496</v>
      </c>
    </row>
    <row r="17" spans="2:16">
      <c r="B17" s="5" t="s">
        <v>122</v>
      </c>
      <c r="C17" s="38">
        <f>+C16/500</f>
        <v>0.56235355376204121</v>
      </c>
      <c r="D17" s="38">
        <f>+D16/500</f>
        <v>0.92677345537757461</v>
      </c>
      <c r="E17" s="38">
        <f>+E16/500</f>
        <v>2.8807682048546281</v>
      </c>
      <c r="F17" s="38">
        <f t="shared" ref="F17:P17" si="7">+F16/500</f>
        <v>0.67016919703801769</v>
      </c>
      <c r="G17" s="38">
        <f t="shared" si="7"/>
        <v>0.55679670046399721</v>
      </c>
      <c r="H17" s="38">
        <f t="shared" si="7"/>
        <v>2.4844720496894412</v>
      </c>
      <c r="I17" s="38">
        <f t="shared" si="7"/>
        <v>0.59438635112823324</v>
      </c>
      <c r="J17" s="38">
        <f t="shared" si="7"/>
        <v>1.4986123959296946</v>
      </c>
      <c r="K17" s="38">
        <f t="shared" si="7"/>
        <v>1.6007905138339922</v>
      </c>
      <c r="L17" s="38">
        <f t="shared" si="7"/>
        <v>0.48458742764840479</v>
      </c>
      <c r="M17" s="38">
        <f t="shared" si="7"/>
        <v>1.6007905138339922</v>
      </c>
      <c r="N17" s="38">
        <f t="shared" si="7"/>
        <v>20.490118577075098</v>
      </c>
      <c r="O17" s="38">
        <f t="shared" si="7"/>
        <v>3.5663181067694008</v>
      </c>
      <c r="P17" s="38">
        <f t="shared" si="7"/>
        <v>2.1840242669362993</v>
      </c>
    </row>
    <row r="18" spans="2:16">
      <c r="B18" s="40" t="s">
        <v>67</v>
      </c>
      <c r="C18" t="str">
        <f>+IF(C13&lt;$C$38,$B$43, $B$44)</f>
        <v>MAL TIEMPO</v>
      </c>
      <c r="D18" t="str">
        <f t="shared" ref="D18:P18" si="8">+IF(D13&lt;$C$38,$B$43, $B$44)</f>
        <v>BUEN TIEMPO</v>
      </c>
      <c r="E18" t="str">
        <f t="shared" si="8"/>
        <v>BUEN TIEMPO</v>
      </c>
      <c r="F18" t="str">
        <f t="shared" si="8"/>
        <v>MAL TIEMPO</v>
      </c>
      <c r="G18" t="str">
        <f t="shared" si="8"/>
        <v>MAL TIEMPO</v>
      </c>
      <c r="H18" t="str">
        <f t="shared" si="8"/>
        <v>BUEN TIEMPO</v>
      </c>
      <c r="I18" t="str">
        <f t="shared" si="8"/>
        <v>MAL TIEMPO</v>
      </c>
      <c r="J18" t="str">
        <f t="shared" si="8"/>
        <v>BUEN TIEMPO</v>
      </c>
      <c r="K18" t="str">
        <f t="shared" si="8"/>
        <v>BUEN TIEMPO</v>
      </c>
      <c r="L18" t="str">
        <f t="shared" si="8"/>
        <v>MAL TIEMPO</v>
      </c>
      <c r="M18" t="str">
        <f t="shared" si="8"/>
        <v>BUEN TIEMPO</v>
      </c>
      <c r="N18" t="str">
        <f t="shared" si="8"/>
        <v>BUEN TIEMPO</v>
      </c>
      <c r="O18" t="str">
        <f t="shared" si="8"/>
        <v>BUEN TIEMPO</v>
      </c>
      <c r="P18" t="str">
        <f t="shared" si="8"/>
        <v>BUEN TIEMPO</v>
      </c>
    </row>
    <row r="21" spans="2:16">
      <c r="B21" s="5" t="s">
        <v>2</v>
      </c>
      <c r="C21" s="5" t="s">
        <v>88</v>
      </c>
      <c r="D21" s="5" t="s">
        <v>89</v>
      </c>
      <c r="E21" s="5" t="s">
        <v>90</v>
      </c>
      <c r="F21" s="5" t="s">
        <v>91</v>
      </c>
      <c r="G21" s="5" t="s">
        <v>123</v>
      </c>
      <c r="H21" s="5" t="s">
        <v>124</v>
      </c>
      <c r="I21" s="5" t="s">
        <v>125</v>
      </c>
      <c r="J21" s="5" t="s">
        <v>95</v>
      </c>
      <c r="K21" s="5" t="s">
        <v>118</v>
      </c>
    </row>
    <row r="22" spans="2:16" ht="75">
      <c r="B22" s="5" t="s">
        <v>9</v>
      </c>
      <c r="C22" s="5" t="s">
        <v>33</v>
      </c>
      <c r="D22" s="5" t="s">
        <v>126</v>
      </c>
      <c r="E22" s="5" t="s">
        <v>35</v>
      </c>
      <c r="F22" s="5" t="s">
        <v>97</v>
      </c>
      <c r="G22" s="5" t="s">
        <v>127</v>
      </c>
      <c r="H22" s="5" t="s">
        <v>128</v>
      </c>
      <c r="I22" s="5" t="s">
        <v>40</v>
      </c>
      <c r="J22" s="5" t="s">
        <v>40</v>
      </c>
      <c r="K22" s="39" t="s">
        <v>129</v>
      </c>
    </row>
    <row r="23" spans="2:16">
      <c r="C23" s="5">
        <f>1+(0.37/0.6)</f>
        <v>1.6166666666666667</v>
      </c>
      <c r="D23" s="5">
        <f>+D7+E7</f>
        <v>1.3366666666666667</v>
      </c>
      <c r="E23" s="5">
        <f>1+(0.31/0.6)</f>
        <v>1.5166666666666666</v>
      </c>
      <c r="F23" s="5">
        <f>(0.45/0.6)+(0.49/0.6)</f>
        <v>1.5666666666666667</v>
      </c>
      <c r="G23" s="5">
        <f>+H7+I7</f>
        <v>1.8333333333333335</v>
      </c>
      <c r="H23" s="5">
        <f>+J7+K7</f>
        <v>1.3166666666666669</v>
      </c>
      <c r="I23" s="5">
        <v>2.4500000000000002</v>
      </c>
      <c r="J23" s="5">
        <v>1.47</v>
      </c>
      <c r="K23" s="5">
        <f>+M7+N7+O7+P7</f>
        <v>1.2958333333333334</v>
      </c>
    </row>
    <row r="24" spans="2:16">
      <c r="C24" s="5">
        <f>1+(0.25/0.6)</f>
        <v>1.4166666666666667</v>
      </c>
      <c r="D24" s="5">
        <f>+D8+E8</f>
        <v>1.2400000000000002</v>
      </c>
      <c r="E24" s="5">
        <v>1.43</v>
      </c>
      <c r="F24" s="5">
        <f>(0.56/0.6)+(0.45/0.6)</f>
        <v>1.6833333333333336</v>
      </c>
      <c r="G24" s="5">
        <f t="shared" ref="G24:G27" si="9">+H8+I8</f>
        <v>2.0366666666666666</v>
      </c>
      <c r="H24" s="5">
        <f t="shared" ref="H24:H27" si="10">+J8+K8</f>
        <v>1</v>
      </c>
      <c r="I24" s="5">
        <v>2.4500000000000002</v>
      </c>
      <c r="J24" s="5">
        <v>2.34</v>
      </c>
      <c r="K24" s="5">
        <f t="shared" ref="K24:K27" si="11">+M8+N8+O8+P8</f>
        <v>1.2791666666666666</v>
      </c>
    </row>
    <row r="25" spans="2:16">
      <c r="C25" s="5">
        <f>1+(0.41/0.6)</f>
        <v>1.6833333333333333</v>
      </c>
      <c r="D25" s="5">
        <f>+D9+E9</f>
        <v>1.27</v>
      </c>
      <c r="E25" s="5">
        <v>1.26</v>
      </c>
      <c r="F25" s="5">
        <f>(0.55/0.6)+(0.42/0.6)</f>
        <v>1.6166666666666667</v>
      </c>
      <c r="G25" s="5">
        <f>+H9+I9</f>
        <v>2.1033333333333335</v>
      </c>
      <c r="H25" s="5">
        <f t="shared" si="10"/>
        <v>1.1833333333333333</v>
      </c>
      <c r="I25" s="5">
        <v>2.38</v>
      </c>
      <c r="J25" s="5">
        <v>2.4</v>
      </c>
      <c r="K25" s="5">
        <f t="shared" si="11"/>
        <v>1.1958333333333333</v>
      </c>
    </row>
    <row r="26" spans="2:16">
      <c r="C26" s="5">
        <f>1+(0.19/0.6)</f>
        <v>1.3166666666666667</v>
      </c>
      <c r="D26" s="5">
        <f>+D10+E10</f>
        <v>1.2666666666666666</v>
      </c>
      <c r="E26" s="5">
        <v>1.39</v>
      </c>
      <c r="F26" s="5">
        <f>(0.48/0.6)+(1+(0.04/0.6))</f>
        <v>1.8666666666666667</v>
      </c>
      <c r="G26" s="5">
        <f t="shared" si="9"/>
        <v>2.0900000000000003</v>
      </c>
      <c r="H26" s="5">
        <f t="shared" si="10"/>
        <v>0.91666666666666674</v>
      </c>
      <c r="I26" s="5">
        <v>2.41</v>
      </c>
      <c r="J26" s="5">
        <v>2.4900000000000002</v>
      </c>
      <c r="K26" s="5">
        <f t="shared" si="11"/>
        <v>1.3624999999999998</v>
      </c>
    </row>
    <row r="27" spans="2:16">
      <c r="C27" s="5">
        <f>2+(0.19/0.6)</f>
        <v>2.3166666666666669</v>
      </c>
      <c r="D27" s="5">
        <f>+D11+E11</f>
        <v>1.5833333333333335</v>
      </c>
      <c r="E27" s="5">
        <v>1.41</v>
      </c>
      <c r="F27" s="5">
        <f>(0.55/0.6)+(0.47/0.6)</f>
        <v>1.7000000000000002</v>
      </c>
      <c r="G27" s="5">
        <f t="shared" si="9"/>
        <v>1.7266666666666666</v>
      </c>
      <c r="H27" s="5">
        <f t="shared" si="10"/>
        <v>1.6500000000000001</v>
      </c>
      <c r="I27" s="5">
        <v>2.31</v>
      </c>
      <c r="J27" s="5">
        <v>2.5</v>
      </c>
      <c r="K27" s="5">
        <f t="shared" si="11"/>
        <v>1.4958333333333333</v>
      </c>
    </row>
    <row r="28" spans="2:16">
      <c r="B28" s="12" t="s">
        <v>20</v>
      </c>
      <c r="C28" s="13">
        <f>+SUM(C23:C27)</f>
        <v>8.35</v>
      </c>
      <c r="D28" s="13">
        <f>+SUM(D23:D27)</f>
        <v>6.6966666666666672</v>
      </c>
      <c r="E28" s="13">
        <f t="shared" ref="E28" si="12">+SUM(E23:E27)</f>
        <v>7.0066666666666659</v>
      </c>
      <c r="F28" s="13">
        <f t="shared" ref="F28:H28" si="13">+SUM(F23:F27)</f>
        <v>8.4333333333333336</v>
      </c>
      <c r="G28" s="13">
        <f t="shared" si="13"/>
        <v>9.7900000000000009</v>
      </c>
      <c r="H28" s="13">
        <f t="shared" si="13"/>
        <v>6.0666666666666673</v>
      </c>
      <c r="I28" s="13">
        <f t="shared" ref="I28" si="14">+SUM(I23:I27)</f>
        <v>12.000000000000002</v>
      </c>
      <c r="J28" s="13">
        <f t="shared" ref="J28:K28" si="15">+SUM(J23:J27)</f>
        <v>11.2</v>
      </c>
      <c r="K28" s="13">
        <f t="shared" si="15"/>
        <v>6.6291666666666664</v>
      </c>
    </row>
    <row r="29" spans="2:16">
      <c r="B29" s="5" t="s">
        <v>80</v>
      </c>
      <c r="C29" s="5">
        <f>+C28/5</f>
        <v>1.67</v>
      </c>
      <c r="D29" s="5">
        <f>+D28/5</f>
        <v>1.3393333333333335</v>
      </c>
      <c r="E29" s="5">
        <f t="shared" ref="E29" si="16">+E28/5</f>
        <v>1.4013333333333331</v>
      </c>
      <c r="F29" s="5">
        <f t="shared" ref="F29:H29" si="17">+F28/5</f>
        <v>1.6866666666666668</v>
      </c>
      <c r="G29" s="5">
        <f>+G28/5</f>
        <v>1.9580000000000002</v>
      </c>
      <c r="H29" s="5">
        <f t="shared" si="17"/>
        <v>1.2133333333333334</v>
      </c>
      <c r="I29" s="5">
        <f t="shared" ref="I29" si="18">+I28/5</f>
        <v>2.4000000000000004</v>
      </c>
      <c r="J29" s="5">
        <f t="shared" ref="J29:K29" si="19">+J28/5</f>
        <v>2.2399999999999998</v>
      </c>
      <c r="K29" s="5">
        <f t="shared" si="19"/>
        <v>1.3258333333333332</v>
      </c>
    </row>
    <row r="30" spans="2:16">
      <c r="B30" s="12" t="s">
        <v>82</v>
      </c>
      <c r="C30" s="13"/>
      <c r="D30" s="13"/>
      <c r="E30" s="13"/>
      <c r="F30" s="13"/>
      <c r="G30" s="13"/>
      <c r="H30" s="13"/>
      <c r="I30" s="13"/>
      <c r="J30" s="13"/>
      <c r="K30" s="13"/>
    </row>
    <row r="31" spans="2:16">
      <c r="B31" s="5" t="s">
        <v>85</v>
      </c>
      <c r="C31" s="5">
        <f>+C29*0.15</f>
        <v>0.2505</v>
      </c>
      <c r="D31" s="5">
        <f t="shared" ref="D31" si="20">+D29*0.15</f>
        <v>0.20090000000000002</v>
      </c>
      <c r="E31" s="5">
        <f t="shared" ref="E31:K31" si="21">+E29*0.15</f>
        <v>0.21019999999999997</v>
      </c>
      <c r="F31" s="5">
        <f t="shared" si="21"/>
        <v>0.253</v>
      </c>
      <c r="G31" s="5">
        <f t="shared" si="21"/>
        <v>0.29370000000000002</v>
      </c>
      <c r="H31" s="5">
        <f t="shared" si="21"/>
        <v>0.182</v>
      </c>
      <c r="I31" s="5">
        <f t="shared" si="21"/>
        <v>0.36000000000000004</v>
      </c>
      <c r="J31" s="5">
        <f t="shared" si="21"/>
        <v>0.33599999999999997</v>
      </c>
      <c r="K31" s="5">
        <f t="shared" si="21"/>
        <v>0.19887499999999997</v>
      </c>
    </row>
    <row r="32" spans="2:16">
      <c r="B32" s="12" t="s">
        <v>86</v>
      </c>
      <c r="C32" s="13">
        <f>540/(C29+C31)</f>
        <v>281.1767768810206</v>
      </c>
      <c r="D32" s="13">
        <f t="shared" ref="D32" si="22">540/(D29+D31)</f>
        <v>350.59623000844022</v>
      </c>
      <c r="E32" s="13">
        <f t="shared" ref="E32" si="23">540/(E29+E31)</f>
        <v>335.08459851900886</v>
      </c>
      <c r="F32" s="13">
        <f>540/(F29+F31)</f>
        <v>278.39835023199862</v>
      </c>
      <c r="G32" s="13">
        <f>540/(G29+G31)</f>
        <v>239.81880357063551</v>
      </c>
      <c r="H32" s="13">
        <f>540/(H29+H31)</f>
        <v>387.00430004777832</v>
      </c>
      <c r="I32" s="13">
        <f t="shared" ref="I32" si="24">540/(I29+I31)</f>
        <v>195.65217391304347</v>
      </c>
      <c r="J32" s="13">
        <f t="shared" ref="J32:K32" si="25">540/(J29+J31)</f>
        <v>209.62732919254663</v>
      </c>
      <c r="K32" s="13">
        <f t="shared" si="25"/>
        <v>354.16609734102155</v>
      </c>
    </row>
    <row r="33" spans="2:14">
      <c r="B33" s="5" t="s">
        <v>122</v>
      </c>
      <c r="C33" s="38">
        <f>+C32/500</f>
        <v>0.56235355376204121</v>
      </c>
      <c r="D33" s="38">
        <f>+D32/500</f>
        <v>0.7011924600168804</v>
      </c>
      <c r="E33" s="38">
        <f>+E32/500</f>
        <v>0.67016919703801769</v>
      </c>
      <c r="F33" s="38">
        <f t="shared" ref="F33:K33" si="26">+F32/500</f>
        <v>0.55679670046399721</v>
      </c>
      <c r="G33" s="38">
        <f t="shared" si="26"/>
        <v>0.47963760714127102</v>
      </c>
      <c r="H33" s="38">
        <f t="shared" si="26"/>
        <v>0.77400860009555661</v>
      </c>
      <c r="I33" s="38">
        <f t="shared" si="26"/>
        <v>0.39130434782608692</v>
      </c>
      <c r="J33" s="38">
        <f t="shared" si="26"/>
        <v>0.41925465838509324</v>
      </c>
      <c r="K33" s="38">
        <f t="shared" si="26"/>
        <v>0.70833219468204311</v>
      </c>
      <c r="L33" s="32"/>
      <c r="N33" s="32"/>
    </row>
    <row r="34" spans="2:14">
      <c r="B34" s="40" t="s">
        <v>67</v>
      </c>
      <c r="C34" t="str">
        <f>+IF(C29&lt;$C$38,$B$43, $B$44)</f>
        <v>MAL TIEMPO</v>
      </c>
      <c r="D34" t="str">
        <f t="shared" ref="D34:K34" si="27">+IF(D29&lt;$C$38,$B$43, $B$44)</f>
        <v>MAL TIEMPO</v>
      </c>
      <c r="E34" t="str">
        <f t="shared" si="27"/>
        <v>MAL TIEMPO</v>
      </c>
      <c r="F34" t="str">
        <f t="shared" si="27"/>
        <v>MAL TIEMPO</v>
      </c>
      <c r="G34" t="str">
        <f t="shared" si="27"/>
        <v>MAL TIEMPO</v>
      </c>
      <c r="H34" t="str">
        <f t="shared" si="27"/>
        <v>MAL TIEMPO</v>
      </c>
      <c r="I34" t="str">
        <f t="shared" si="27"/>
        <v>MAL TIEMPO</v>
      </c>
      <c r="J34" t="str">
        <f t="shared" si="27"/>
        <v>MAL TIEMPO</v>
      </c>
      <c r="K34" t="str">
        <f t="shared" si="27"/>
        <v>MAL TIEMPO</v>
      </c>
    </row>
    <row r="38" spans="2:14">
      <c r="B38" s="5" t="s">
        <v>67</v>
      </c>
      <c r="C38" s="5">
        <f>+C39/C40</f>
        <v>1.08</v>
      </c>
      <c r="D38" t="s">
        <v>68</v>
      </c>
      <c r="E38" s="5">
        <f>+E39/E40</f>
        <v>1.08</v>
      </c>
      <c r="F38" t="s">
        <v>69</v>
      </c>
      <c r="G38" s="5">
        <f>+G39/G40</f>
        <v>1.08</v>
      </c>
      <c r="H38" t="s">
        <v>69</v>
      </c>
    </row>
    <row r="39" spans="2:14">
      <c r="B39" s="5" t="s">
        <v>70</v>
      </c>
      <c r="C39" s="5">
        <v>10800</v>
      </c>
      <c r="D39" t="s">
        <v>71</v>
      </c>
      <c r="E39" s="5">
        <v>2700</v>
      </c>
      <c r="F39" t="s">
        <v>72</v>
      </c>
      <c r="G39" s="5">
        <v>540</v>
      </c>
      <c r="H39" t="s">
        <v>73</v>
      </c>
    </row>
    <row r="40" spans="2:14">
      <c r="B40" s="5" t="s">
        <v>74</v>
      </c>
      <c r="C40" s="5">
        <v>10000</v>
      </c>
      <c r="D40" t="s">
        <v>75</v>
      </c>
      <c r="E40" s="5">
        <f>+C40/4</f>
        <v>2500</v>
      </c>
      <c r="F40" t="s">
        <v>76</v>
      </c>
      <c r="G40" s="5">
        <f>+E40/5</f>
        <v>500</v>
      </c>
      <c r="H40" t="s">
        <v>77</v>
      </c>
    </row>
    <row r="43" spans="2:14">
      <c r="B43" s="42" t="s">
        <v>130</v>
      </c>
      <c r="C43" t="s">
        <v>131</v>
      </c>
    </row>
    <row r="44" spans="2:14">
      <c r="B44" s="41" t="s">
        <v>132</v>
      </c>
      <c r="C44" t="s">
        <v>133</v>
      </c>
      <c r="D44" s="43"/>
      <c r="E44" s="43"/>
      <c r="F44" s="43"/>
      <c r="G44" s="43"/>
      <c r="H44" s="43"/>
      <c r="I44" s="43"/>
      <c r="J44" s="43"/>
      <c r="K44" s="43"/>
    </row>
    <row r="45" spans="2:14">
      <c r="B45" s="5" t="s">
        <v>134</v>
      </c>
      <c r="C45" t="s">
        <v>135</v>
      </c>
      <c r="D45" s="44"/>
      <c r="E45" s="44"/>
      <c r="F45" s="44"/>
      <c r="G45" s="44"/>
      <c r="H45" s="44"/>
      <c r="I45" s="44"/>
      <c r="J45" s="44"/>
      <c r="K45" s="44"/>
    </row>
    <row r="53" spans="5:5">
      <c r="E53" s="37"/>
    </row>
  </sheetData>
  <mergeCells count="3">
    <mergeCell ref="D5:E5"/>
    <mergeCell ref="H5:I5"/>
    <mergeCell ref="J5:K5"/>
  </mergeCells>
  <conditionalFormatting sqref="C34:K34">
    <cfRule type="containsText" dxfId="17" priority="3" operator="containsText" text="MAL TIEMPO">
      <formula>NOT(ISERROR(SEARCH("MAL TIEMPO",C34)))</formula>
    </cfRule>
    <cfRule type="containsText" dxfId="16" priority="4" operator="containsText" text="BUEN TIEMPO">
      <formula>NOT(ISERROR(SEARCH("BUEN TIEMPO",C34)))</formula>
    </cfRule>
  </conditionalFormatting>
  <conditionalFormatting sqref="C18:P18">
    <cfRule type="containsText" dxfId="15" priority="1" operator="containsText" text="MAL TIEMPO">
      <formula>NOT(ISERROR(SEARCH("MAL TIEMPO",C18)))</formula>
    </cfRule>
    <cfRule type="containsText" dxfId="14" priority="2" operator="containsText" text="BUEN TIEMPO">
      <formula>NOT(ISERROR(SEARCH("BUEN TIEMPO",C18)))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A05A-321A-4D5A-B69C-7B748F7CE41C}">
  <dimension ref="B2:K45"/>
  <sheetViews>
    <sheetView topLeftCell="A25" zoomScaleNormal="100" workbookViewId="0">
      <selection activeCell="D49" sqref="D49"/>
    </sheetView>
  </sheetViews>
  <sheetFormatPr defaultColWidth="11.42578125" defaultRowHeight="15"/>
  <cols>
    <col min="2" max="2" width="17.28515625" customWidth="1"/>
    <col min="3" max="3" width="19.5703125" customWidth="1"/>
    <col min="4" max="4" width="25.28515625" customWidth="1"/>
    <col min="5" max="5" width="42.5703125" customWidth="1"/>
    <col min="6" max="6" width="17.7109375" customWidth="1"/>
    <col min="7" max="7" width="18.85546875" customWidth="1"/>
    <col min="8" max="8" width="15.42578125" customWidth="1"/>
    <col min="10" max="10" width="22.28515625" customWidth="1"/>
  </cols>
  <sheetData>
    <row r="2" spans="2:11">
      <c r="J2" s="5" t="s">
        <v>136</v>
      </c>
    </row>
    <row r="3" spans="2:11">
      <c r="J3" t="s">
        <v>137</v>
      </c>
      <c r="K3" t="s">
        <v>138</v>
      </c>
    </row>
    <row r="4" spans="2:11">
      <c r="B4" s="54" t="s">
        <v>139</v>
      </c>
      <c r="C4" s="54"/>
      <c r="D4" s="54"/>
      <c r="E4" s="54"/>
      <c r="F4" s="54"/>
      <c r="G4" s="54"/>
      <c r="H4" s="54"/>
      <c r="J4" t="s">
        <v>140</v>
      </c>
      <c r="K4" t="s">
        <v>141</v>
      </c>
    </row>
    <row r="5" spans="2:11">
      <c r="B5" s="5" t="s">
        <v>2</v>
      </c>
      <c r="C5" s="5" t="s">
        <v>142</v>
      </c>
      <c r="D5" s="5" t="s">
        <v>143</v>
      </c>
      <c r="E5" s="5" t="s">
        <v>144</v>
      </c>
      <c r="F5" s="5" t="s">
        <v>144</v>
      </c>
      <c r="G5" s="5" t="s">
        <v>145</v>
      </c>
      <c r="H5" s="5" t="s">
        <v>145</v>
      </c>
      <c r="J5" t="s">
        <v>146</v>
      </c>
      <c r="K5" t="s">
        <v>147</v>
      </c>
    </row>
    <row r="6" spans="2:11">
      <c r="B6" s="5" t="s">
        <v>9</v>
      </c>
      <c r="C6" s="5" t="s">
        <v>148</v>
      </c>
      <c r="D6" s="5" t="s">
        <v>149</v>
      </c>
      <c r="E6" s="5" t="s">
        <v>150</v>
      </c>
      <c r="F6" s="5" t="s">
        <v>26</v>
      </c>
      <c r="G6" s="5" t="s">
        <v>87</v>
      </c>
      <c r="H6" s="5" t="s">
        <v>151</v>
      </c>
      <c r="J6" t="s">
        <v>152</v>
      </c>
    </row>
    <row r="7" spans="2:11">
      <c r="C7" s="5">
        <f>(0.45/0.6)*2</f>
        <v>1.5</v>
      </c>
      <c r="D7" s="5">
        <f>(0.07/0.6)*2</f>
        <v>0.23333333333333336</v>
      </c>
      <c r="E7" s="5">
        <f>(1+(0.01/0.6))*2</f>
        <v>2.0333333333333332</v>
      </c>
      <c r="F7" s="5">
        <f>(0.23/0.6)*2</f>
        <v>0.76666666666666672</v>
      </c>
      <c r="G7" s="5">
        <f>(0.04/0.6)*2</f>
        <v>0.13333333333333333</v>
      </c>
      <c r="H7" s="5">
        <f>(0.32/0.6)*2</f>
        <v>1.0666666666666667</v>
      </c>
    </row>
    <row r="8" spans="2:11">
      <c r="C8" s="5">
        <f>(0.49/0.6)*2</f>
        <v>1.6333333333333333</v>
      </c>
      <c r="D8" s="5">
        <f>(0.06/0.6)*2</f>
        <v>0.2</v>
      </c>
      <c r="E8" s="5">
        <f>(0.44/0.6)*2</f>
        <v>1.4666666666666668</v>
      </c>
      <c r="F8" s="5">
        <f>(0.2/0.6)*2</f>
        <v>0.66666666666666674</v>
      </c>
      <c r="G8" s="5">
        <f>0.03/0.6</f>
        <v>0.05</v>
      </c>
      <c r="H8" s="5">
        <f>(0.48/0.6)*2</f>
        <v>1.6</v>
      </c>
      <c r="J8" t="s">
        <v>153</v>
      </c>
    </row>
    <row r="9" spans="2:11">
      <c r="C9" s="5">
        <f>(0.44/0.6)*2</f>
        <v>1.4666666666666668</v>
      </c>
      <c r="D9" s="5">
        <f>(0.06/0.6)*2</f>
        <v>0.2</v>
      </c>
      <c r="E9" s="5">
        <f>(1+(0.14/0.6))*2</f>
        <v>2.4666666666666668</v>
      </c>
      <c r="F9" s="5">
        <f>(0.22/0.6)*2</f>
        <v>0.73333333333333339</v>
      </c>
      <c r="G9" s="5">
        <f>0.03/0.6</f>
        <v>0.05</v>
      </c>
      <c r="H9" s="5">
        <f>(0.49/0.6)*2</f>
        <v>1.6333333333333333</v>
      </c>
    </row>
    <row r="10" spans="2:11">
      <c r="C10" s="5">
        <f>(0.44/0.6)*2</f>
        <v>1.4666666666666668</v>
      </c>
      <c r="D10" s="5">
        <f>(0.06/0.6)*2</f>
        <v>0.2</v>
      </c>
      <c r="E10" s="5">
        <f>(1+(0.18/0.6))*2</f>
        <v>2.6</v>
      </c>
      <c r="F10" s="5">
        <f>(0.29/0.6)*2</f>
        <v>0.96666666666666667</v>
      </c>
      <c r="G10" s="5">
        <f>0.04/0.6</f>
        <v>6.6666666666666666E-2</v>
      </c>
      <c r="H10" s="5">
        <f>(0.52/0.6)*2</f>
        <v>1.7333333333333334</v>
      </c>
    </row>
    <row r="11" spans="2:11">
      <c r="C11" s="5">
        <f>(0.46/0.6)*2</f>
        <v>1.5333333333333334</v>
      </c>
      <c r="D11" s="5">
        <f>(0.07/0.6)*2</f>
        <v>0.23333333333333336</v>
      </c>
      <c r="E11" s="5">
        <f>(1+(0.25/0.6))*2</f>
        <v>2.8333333333333335</v>
      </c>
      <c r="F11" s="5">
        <f>(0.2/0.6)*2</f>
        <v>0.66666666666666674</v>
      </c>
      <c r="G11" s="5">
        <f>0.03/0.6</f>
        <v>0.05</v>
      </c>
      <c r="H11" s="5">
        <f>(0.47/0.6)*2</f>
        <v>1.5666666666666667</v>
      </c>
    </row>
    <row r="12" spans="2:11">
      <c r="B12" s="12" t="s">
        <v>20</v>
      </c>
      <c r="C12" s="26">
        <f>+SUM(C7:C11)/5</f>
        <v>1.52</v>
      </c>
      <c r="D12" s="26">
        <f>+SUM(D7:D11)</f>
        <v>1.0666666666666667</v>
      </c>
      <c r="E12" s="26">
        <f>+SUM(E7:E11)</f>
        <v>11.4</v>
      </c>
      <c r="F12" s="26">
        <f>+SUM(F7:F11)</f>
        <v>3.8000000000000007</v>
      </c>
      <c r="G12" s="26">
        <f>+SUM(G7:G11)</f>
        <v>0.35</v>
      </c>
      <c r="H12" s="26">
        <f>+SUM(H7:H11)</f>
        <v>7.6000000000000005</v>
      </c>
      <c r="I12" s="22" t="s">
        <v>78</v>
      </c>
      <c r="J12" s="22" t="s">
        <v>79</v>
      </c>
    </row>
    <row r="13" spans="2:11">
      <c r="B13" s="5" t="s">
        <v>80</v>
      </c>
      <c r="C13" s="5">
        <v>1.52</v>
      </c>
      <c r="D13" s="5">
        <f>+D12/5</f>
        <v>0.21333333333333332</v>
      </c>
      <c r="E13" s="5">
        <f t="shared" ref="E13:H13" si="0">+E12/5</f>
        <v>2.2800000000000002</v>
      </c>
      <c r="F13" s="5">
        <f t="shared" si="0"/>
        <v>0.76000000000000012</v>
      </c>
      <c r="G13" s="5">
        <f t="shared" si="0"/>
        <v>6.9999999999999993E-2</v>
      </c>
      <c r="H13" s="5">
        <f t="shared" si="0"/>
        <v>1.52</v>
      </c>
      <c r="I13" s="5">
        <f>+SUM(C13:H13)</f>
        <v>6.3633333333333333</v>
      </c>
      <c r="J13" s="5">
        <f>540/(I13+I15)</f>
        <v>73.792333796433383</v>
      </c>
      <c r="K13" t="s">
        <v>81</v>
      </c>
    </row>
    <row r="14" spans="2:11">
      <c r="B14" s="12" t="s">
        <v>82</v>
      </c>
      <c r="C14" s="13">
        <f>+C13*0.6</f>
        <v>0.91199999999999992</v>
      </c>
      <c r="D14" s="13">
        <f t="shared" ref="D14:H14" si="1">+D13*0.6</f>
        <v>0.12799999999999997</v>
      </c>
      <c r="E14" s="13">
        <f t="shared" si="1"/>
        <v>1.3680000000000001</v>
      </c>
      <c r="F14" s="13">
        <f t="shared" si="1"/>
        <v>0.45600000000000007</v>
      </c>
      <c r="G14" s="13">
        <f t="shared" si="1"/>
        <v>4.1999999999999996E-2</v>
      </c>
      <c r="H14" s="13">
        <f t="shared" si="1"/>
        <v>0.91199999999999992</v>
      </c>
      <c r="I14" s="22" t="s">
        <v>83</v>
      </c>
      <c r="J14" s="22" t="s">
        <v>84</v>
      </c>
    </row>
    <row r="15" spans="2:11">
      <c r="B15" s="5" t="s">
        <v>85</v>
      </c>
      <c r="C15" s="5">
        <f>+C13*0.15</f>
        <v>0.22799999999999998</v>
      </c>
      <c r="D15" s="5">
        <f>+D13*0.15</f>
        <v>3.1999999999999994E-2</v>
      </c>
      <c r="E15" s="5">
        <f t="shared" ref="E15:H15" si="2">+E13*0.15</f>
        <v>0.34200000000000003</v>
      </c>
      <c r="F15" s="5">
        <f t="shared" si="2"/>
        <v>0.11400000000000002</v>
      </c>
      <c r="G15" s="5">
        <f t="shared" si="2"/>
        <v>1.0499999999999999E-2</v>
      </c>
      <c r="H15" s="5">
        <f t="shared" si="2"/>
        <v>0.22799999999999998</v>
      </c>
      <c r="I15" s="5">
        <f>+SUM(C15:H15)</f>
        <v>0.9544999999999999</v>
      </c>
      <c r="J15" s="5">
        <f>660/(I13+I15)</f>
        <v>90.190630195640793</v>
      </c>
      <c r="K15" t="s">
        <v>81</v>
      </c>
    </row>
    <row r="16" spans="2:11">
      <c r="B16" s="12" t="s">
        <v>86</v>
      </c>
      <c r="C16" s="13">
        <f>540/(C13+C15)</f>
        <v>308.9244851258581</v>
      </c>
      <c r="D16" s="13">
        <f>540/(D13+D15)</f>
        <v>2201.0869565217395</v>
      </c>
      <c r="E16" s="13">
        <f>540/(E13+E15)</f>
        <v>205.94965675057205</v>
      </c>
      <c r="F16" s="13">
        <f t="shared" ref="F16:G16" si="3">540/(F13+F15)</f>
        <v>617.8489702517162</v>
      </c>
      <c r="G16" s="13">
        <f t="shared" si="3"/>
        <v>6708.074534161492</v>
      </c>
      <c r="H16" s="13">
        <f>540/(H13+H15)</f>
        <v>308.9244851258581</v>
      </c>
    </row>
    <row r="17" spans="2:8">
      <c r="B17" s="5" t="s">
        <v>122</v>
      </c>
      <c r="C17" s="31">
        <f>C16/500</f>
        <v>0.61784897025171615</v>
      </c>
      <c r="D17" s="31">
        <f t="shared" ref="D17" si="4">D16/500</f>
        <v>4.4021739130434785</v>
      </c>
      <c r="E17" s="31">
        <f>E16/500</f>
        <v>0.41189931350114412</v>
      </c>
      <c r="F17" s="31">
        <f t="shared" ref="F17:H17" si="5">F16/500</f>
        <v>1.2356979405034323</v>
      </c>
      <c r="G17" s="31">
        <f t="shared" si="5"/>
        <v>13.416149068322984</v>
      </c>
      <c r="H17" s="31">
        <f t="shared" si="5"/>
        <v>0.61784897025171615</v>
      </c>
    </row>
    <row r="18" spans="2:8">
      <c r="B18" s="40" t="s">
        <v>67</v>
      </c>
      <c r="C18" t="str">
        <f>+IF(C13&lt;$C$38,$B$43, $B$44)</f>
        <v>MAL TIEMPO</v>
      </c>
      <c r="D18" t="str">
        <f>+IF(D13&lt;$C$38,$B$43, $B$44)</f>
        <v>BUEN TIEMPO</v>
      </c>
      <c r="E18" t="str">
        <f>+IF(E13&lt;$C$38,$B$43, $B$44)</f>
        <v>MAL TIEMPO</v>
      </c>
      <c r="F18" t="str">
        <f t="shared" ref="F18:H18" si="6">+IF(F13&lt;$C$38,$B$43, $B$44)</f>
        <v>BUEN TIEMPO</v>
      </c>
      <c r="G18" t="str">
        <f t="shared" si="6"/>
        <v>BUEN TIEMPO</v>
      </c>
      <c r="H18" t="str">
        <f t="shared" si="6"/>
        <v>MAL TIEMPO</v>
      </c>
    </row>
    <row r="20" spans="2:8">
      <c r="B20" s="51" t="s">
        <v>154</v>
      </c>
      <c r="C20" s="52"/>
      <c r="D20" s="52"/>
      <c r="E20" s="53"/>
    </row>
    <row r="21" spans="2:8">
      <c r="B21" s="25" t="s">
        <v>2</v>
      </c>
      <c r="C21" s="25" t="s">
        <v>142</v>
      </c>
      <c r="D21" s="25" t="s">
        <v>144</v>
      </c>
      <c r="E21" s="25" t="s">
        <v>145</v>
      </c>
    </row>
    <row r="22" spans="2:8">
      <c r="B22" s="5" t="s">
        <v>9</v>
      </c>
      <c r="C22" s="5" t="s">
        <v>155</v>
      </c>
      <c r="D22" s="5" t="s">
        <v>156</v>
      </c>
      <c r="E22" s="5" t="s">
        <v>157</v>
      </c>
    </row>
    <row r="23" spans="2:8">
      <c r="C23" s="5">
        <f>+C7+D7</f>
        <v>1.7333333333333334</v>
      </c>
      <c r="D23" s="5">
        <f>+E7+F7</f>
        <v>2.8</v>
      </c>
      <c r="E23" s="5">
        <f>+G7+H7</f>
        <v>1.2</v>
      </c>
    </row>
    <row r="24" spans="2:8">
      <c r="C24" s="5">
        <f t="shared" ref="C24:C26" si="7">+C8+D8</f>
        <v>1.8333333333333333</v>
      </c>
      <c r="D24" s="5">
        <f t="shared" ref="D24:D27" si="8">+E8+F8</f>
        <v>2.1333333333333337</v>
      </c>
      <c r="E24" s="5">
        <f t="shared" ref="E24:E27" si="9">+G8+H8</f>
        <v>1.6500000000000001</v>
      </c>
    </row>
    <row r="25" spans="2:8">
      <c r="C25" s="5">
        <f t="shared" si="7"/>
        <v>1.6666666666666667</v>
      </c>
      <c r="D25" s="5">
        <f t="shared" si="8"/>
        <v>3.2</v>
      </c>
      <c r="E25" s="5">
        <f t="shared" si="9"/>
        <v>1.6833333333333333</v>
      </c>
    </row>
    <row r="26" spans="2:8">
      <c r="C26" s="5">
        <f t="shared" si="7"/>
        <v>1.6666666666666667</v>
      </c>
      <c r="D26" s="5">
        <f>+E10+F10</f>
        <v>3.5666666666666669</v>
      </c>
      <c r="E26" s="5">
        <f t="shared" si="9"/>
        <v>1.8</v>
      </c>
    </row>
    <row r="27" spans="2:8">
      <c r="C27" s="5">
        <f>+C11+D11</f>
        <v>1.7666666666666668</v>
      </c>
      <c r="D27" s="5">
        <f t="shared" si="8"/>
        <v>3.5</v>
      </c>
      <c r="E27" s="5">
        <f t="shared" si="9"/>
        <v>1.6166666666666667</v>
      </c>
    </row>
    <row r="28" spans="2:8">
      <c r="B28" s="12" t="s">
        <v>20</v>
      </c>
      <c r="C28" s="26">
        <f>+SUM(C23:C27)</f>
        <v>8.6666666666666679</v>
      </c>
      <c r="D28" s="26">
        <f t="shared" ref="D28:E28" si="10">+SUM(D23:D27)</f>
        <v>15.2</v>
      </c>
      <c r="E28" s="13">
        <f t="shared" si="10"/>
        <v>7.9499999999999993</v>
      </c>
      <c r="F28" s="22" t="s">
        <v>78</v>
      </c>
      <c r="G28" s="22" t="s">
        <v>79</v>
      </c>
    </row>
    <row r="29" spans="2:8">
      <c r="B29" s="5" t="s">
        <v>80</v>
      </c>
      <c r="C29" s="5">
        <f>+AVERAGE(C23:C27)</f>
        <v>1.7333333333333336</v>
      </c>
      <c r="D29" s="5">
        <f>+AVERAGE(D23:D27)</f>
        <v>3.04</v>
      </c>
      <c r="E29" s="5">
        <f>+AVERAGE(E23:E27)</f>
        <v>1.5899999999999999</v>
      </c>
      <c r="F29" s="5">
        <f>+SUM(C29:E29)</f>
        <v>6.3633333333333333</v>
      </c>
      <c r="G29" s="5">
        <f>540/(F29+F31)</f>
        <v>73.792333796433383</v>
      </c>
    </row>
    <row r="30" spans="2:8">
      <c r="B30" s="12" t="s">
        <v>82</v>
      </c>
      <c r="C30" s="13"/>
      <c r="D30" s="13"/>
      <c r="E30" s="13"/>
      <c r="F30" s="22" t="s">
        <v>83</v>
      </c>
      <c r="G30" s="22" t="s">
        <v>84</v>
      </c>
    </row>
    <row r="31" spans="2:8">
      <c r="B31" s="5" t="s">
        <v>85</v>
      </c>
      <c r="C31" s="5">
        <f>+C29*0.15</f>
        <v>0.26</v>
      </c>
      <c r="D31" s="5">
        <f>+D29*0.15</f>
        <v>0.45599999999999996</v>
      </c>
      <c r="E31" s="5">
        <f>+E29*0.15</f>
        <v>0.23849999999999996</v>
      </c>
      <c r="F31" s="5">
        <f>+SUM(C31:E31)</f>
        <v>0.9544999999999999</v>
      </c>
      <c r="G31" s="5">
        <f>660/(F29+F31)</f>
        <v>90.190630195640793</v>
      </c>
    </row>
    <row r="32" spans="2:8">
      <c r="B32" s="12" t="s">
        <v>86</v>
      </c>
      <c r="C32" s="13">
        <f>540/(C29+C31)</f>
        <v>270.90301003344479</v>
      </c>
      <c r="D32" s="13">
        <f>540/(D29+D31)</f>
        <v>154.46224256292905</v>
      </c>
      <c r="E32" s="13">
        <f>540/(E29+E31)</f>
        <v>295.32403609516001</v>
      </c>
    </row>
    <row r="33" spans="2:8">
      <c r="B33" s="5" t="s">
        <v>122</v>
      </c>
      <c r="C33" s="31">
        <f>C32/500</f>
        <v>0.5418060200668896</v>
      </c>
      <c r="D33" s="31">
        <f t="shared" ref="D33" si="11">D32/500</f>
        <v>0.30892448512585807</v>
      </c>
      <c r="E33" s="31">
        <f>E32/500</f>
        <v>0.59064807219032001</v>
      </c>
      <c r="F33" s="30"/>
      <c r="G33" s="30"/>
      <c r="H33" s="30"/>
    </row>
    <row r="34" spans="2:8">
      <c r="B34" s="40" t="s">
        <v>67</v>
      </c>
      <c r="C34" t="str">
        <f>+IF(C29&lt;$C$38,$B$43, $B$44)</f>
        <v>MAL TIEMPO</v>
      </c>
      <c r="D34" t="str">
        <f>+IF(D29&lt;$C$38,$B$43, $B$44)</f>
        <v>MAL TIEMPO</v>
      </c>
      <c r="E34" t="str">
        <f>+IF(E29&lt;$C$38,$B$43, $B$44)</f>
        <v>MAL TIEMPO</v>
      </c>
    </row>
    <row r="38" spans="2:8">
      <c r="B38" s="5" t="s">
        <v>67</v>
      </c>
      <c r="C38" s="5">
        <f>+C39/C40</f>
        <v>1.08</v>
      </c>
      <c r="D38" t="s">
        <v>68</v>
      </c>
      <c r="E38" s="5">
        <f>+E39/E40</f>
        <v>1.08</v>
      </c>
      <c r="F38" t="s">
        <v>69</v>
      </c>
      <c r="G38" s="5">
        <f>+G39/G40</f>
        <v>1.08</v>
      </c>
      <c r="H38" t="s">
        <v>69</v>
      </c>
    </row>
    <row r="39" spans="2:8">
      <c r="B39" s="5" t="s">
        <v>70</v>
      </c>
      <c r="C39" s="5">
        <v>10800</v>
      </c>
      <c r="D39" t="s">
        <v>71</v>
      </c>
      <c r="E39" s="5">
        <v>2700</v>
      </c>
      <c r="F39" t="s">
        <v>72</v>
      </c>
      <c r="G39" s="5">
        <v>540</v>
      </c>
      <c r="H39" t="s">
        <v>73</v>
      </c>
    </row>
    <row r="40" spans="2:8">
      <c r="B40" s="5" t="s">
        <v>74</v>
      </c>
      <c r="C40" s="5">
        <v>10000</v>
      </c>
      <c r="D40" t="s">
        <v>75</v>
      </c>
      <c r="E40" s="5">
        <f>+C40/4</f>
        <v>2500</v>
      </c>
      <c r="F40" t="s">
        <v>76</v>
      </c>
      <c r="G40" s="5">
        <f>+E40/5</f>
        <v>500</v>
      </c>
      <c r="H40" t="s">
        <v>77</v>
      </c>
    </row>
    <row r="43" spans="2:8">
      <c r="B43" s="42" t="s">
        <v>130</v>
      </c>
      <c r="C43" t="s">
        <v>131</v>
      </c>
    </row>
    <row r="44" spans="2:8">
      <c r="B44" s="41" t="s">
        <v>132</v>
      </c>
      <c r="C44" t="s">
        <v>133</v>
      </c>
    </row>
    <row r="45" spans="2:8">
      <c r="B45" s="5" t="s">
        <v>134</v>
      </c>
      <c r="C45" t="s">
        <v>135</v>
      </c>
    </row>
  </sheetData>
  <mergeCells count="2">
    <mergeCell ref="B20:E20"/>
    <mergeCell ref="B4:H4"/>
  </mergeCells>
  <conditionalFormatting sqref="C18:H18">
    <cfRule type="containsText" dxfId="13" priority="1" operator="containsText" text="MAL TIEMPO">
      <formula>NOT(ISERROR(SEARCH("MAL TIEMPO",C18)))</formula>
    </cfRule>
    <cfRule type="containsText" dxfId="12" priority="2" operator="containsText" text="BUEN TIEMPO">
      <formula>NOT(ISERROR(SEARCH("BUEN TIEMPO",C18)))</formula>
    </cfRule>
  </conditionalFormatting>
  <conditionalFormatting sqref="C34:K34">
    <cfRule type="containsText" dxfId="11" priority="3" operator="containsText" text="MAL TIEMPO">
      <formula>NOT(ISERROR(SEARCH("MAL TIEMPO",C34)))</formula>
    </cfRule>
    <cfRule type="containsText" dxfId="10" priority="4" operator="containsText" text="BUEN TIEMPO">
      <formula>NOT(ISERROR(SEARCH("BUEN TIEMPO",C34)))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1D56-0692-4C67-9DDE-46CB58A6B6A7}">
  <dimension ref="B2:R40"/>
  <sheetViews>
    <sheetView topLeftCell="G20" workbookViewId="0">
      <selection activeCell="G20" sqref="G20"/>
    </sheetView>
  </sheetViews>
  <sheetFormatPr defaultColWidth="11.42578125" defaultRowHeight="15"/>
  <cols>
    <col min="2" max="2" width="13.5703125" customWidth="1"/>
    <col min="3" max="3" width="21.5703125" customWidth="1"/>
    <col min="4" max="4" width="18" customWidth="1"/>
    <col min="5" max="5" width="16.28515625" customWidth="1"/>
    <col min="6" max="6" width="22.5703125" customWidth="1"/>
    <col min="7" max="7" width="14.85546875" customWidth="1"/>
    <col min="8" max="8" width="17.7109375" customWidth="1"/>
    <col min="9" max="9" width="17" customWidth="1"/>
    <col min="11" max="11" width="15.5703125" customWidth="1"/>
    <col min="12" max="12" width="20.28515625" customWidth="1"/>
    <col min="13" max="13" width="15.5703125" customWidth="1"/>
    <col min="14" max="14" width="18.28515625" customWidth="1"/>
    <col min="15" max="15" width="13.28515625" customWidth="1"/>
  </cols>
  <sheetData>
    <row r="2" spans="2:18">
      <c r="F2" t="s">
        <v>158</v>
      </c>
    </row>
    <row r="4" spans="2:18">
      <c r="C4" s="29" t="s">
        <v>1</v>
      </c>
    </row>
    <row r="5" spans="2:18">
      <c r="B5" s="5" t="s">
        <v>2</v>
      </c>
      <c r="C5" s="5" t="s">
        <v>159</v>
      </c>
      <c r="D5" s="5" t="s">
        <v>3</v>
      </c>
      <c r="E5" s="5" t="s">
        <v>160</v>
      </c>
      <c r="F5" s="5" t="s">
        <v>4</v>
      </c>
      <c r="G5" s="5" t="s">
        <v>161</v>
      </c>
      <c r="H5" s="5" t="s">
        <v>6</v>
      </c>
      <c r="I5" s="5" t="s">
        <v>7</v>
      </c>
      <c r="J5" s="5" t="s">
        <v>162</v>
      </c>
      <c r="K5" s="5" t="s">
        <v>163</v>
      </c>
      <c r="L5" s="5" t="s">
        <v>164</v>
      </c>
      <c r="M5" s="5" t="s">
        <v>165</v>
      </c>
      <c r="N5" s="5" t="s">
        <v>166</v>
      </c>
      <c r="P5" t="s">
        <v>67</v>
      </c>
      <c r="Q5">
        <f>+Q6/Q7</f>
        <v>0.23861171366594361</v>
      </c>
    </row>
    <row r="6" spans="2:18" ht="45"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167</v>
      </c>
      <c r="M6" s="39" t="s">
        <v>168</v>
      </c>
      <c r="N6" s="39" t="s">
        <v>169</v>
      </c>
      <c r="P6" t="s">
        <v>70</v>
      </c>
      <c r="Q6">
        <f>11*60</f>
        <v>660</v>
      </c>
    </row>
    <row r="7" spans="2:18">
      <c r="C7" s="5">
        <f>0.51/0.6</f>
        <v>0.85000000000000009</v>
      </c>
      <c r="D7" s="5">
        <f>0.56/0.6</f>
        <v>0.93333333333333346</v>
      </c>
      <c r="E7" s="5">
        <f>0.41/0.6</f>
        <v>0.68333333333333335</v>
      </c>
      <c r="F7" s="5">
        <f>0.09/0.6</f>
        <v>0.15</v>
      </c>
      <c r="G7" s="5">
        <f>3+(0.02/0.6)</f>
        <v>3.0333333333333332</v>
      </c>
      <c r="H7" s="5">
        <v>2</v>
      </c>
      <c r="I7" s="5">
        <f>1+(0.15/0.6)</f>
        <v>1.25</v>
      </c>
      <c r="J7" s="5">
        <f>0.47/0.6</f>
        <v>0.78333333333333333</v>
      </c>
      <c r="K7" s="5"/>
      <c r="L7" s="5">
        <v>1.17</v>
      </c>
      <c r="M7" s="5"/>
      <c r="N7" s="5">
        <v>0.36</v>
      </c>
      <c r="P7" t="s">
        <v>74</v>
      </c>
      <c r="Q7">
        <v>2766</v>
      </c>
      <c r="R7">
        <f>+(0.38/0.6)+(0.4/0.6)</f>
        <v>1.3000000000000003</v>
      </c>
    </row>
    <row r="8" spans="2:18">
      <c r="C8" s="5">
        <f>0.53/0.6</f>
        <v>0.88333333333333341</v>
      </c>
      <c r="D8" s="5">
        <f>0.51/0.6</f>
        <v>0.85000000000000009</v>
      </c>
      <c r="E8" s="5">
        <f>0.42/0.6</f>
        <v>0.7</v>
      </c>
      <c r="F8" s="5">
        <f>0.1/0.6</f>
        <v>0.16666666666666669</v>
      </c>
      <c r="G8" s="5">
        <f>3+(0.18/60)</f>
        <v>3.0030000000000001</v>
      </c>
      <c r="H8" s="5">
        <f>1+(0.41/0.6)</f>
        <v>1.6833333333333333</v>
      </c>
      <c r="I8" s="5">
        <f>1+(0.08/0.6)</f>
        <v>1.1333333333333333</v>
      </c>
      <c r="J8" s="5">
        <f>0.47/0.6</f>
        <v>0.78333333333333333</v>
      </c>
      <c r="K8" s="5"/>
      <c r="L8" s="5">
        <v>1.2</v>
      </c>
      <c r="M8" s="5"/>
      <c r="N8" s="5">
        <v>0.35</v>
      </c>
      <c r="R8" t="s">
        <v>170</v>
      </c>
    </row>
    <row r="9" spans="2:18">
      <c r="C9" s="5">
        <f>0.49/0.6</f>
        <v>0.81666666666666665</v>
      </c>
      <c r="D9" s="5">
        <f>1+(0.21/0.6)</f>
        <v>1.35</v>
      </c>
      <c r="E9" s="5">
        <f>0.31/0.6</f>
        <v>0.51666666666666672</v>
      </c>
      <c r="F9" s="5">
        <f>0.09/0.6</f>
        <v>0.15</v>
      </c>
      <c r="G9" s="5">
        <v>3.37</v>
      </c>
      <c r="H9" s="5">
        <f>2+(0.02/0.6)</f>
        <v>2.0333333333333332</v>
      </c>
      <c r="I9" s="5">
        <f>1+(0.2/0.6)</f>
        <v>1.3333333333333335</v>
      </c>
      <c r="J9" s="5">
        <f>0.52/0.6</f>
        <v>0.8666666666666667</v>
      </c>
      <c r="K9" s="5"/>
      <c r="L9" s="5">
        <v>1.0900000000000001</v>
      </c>
      <c r="M9" s="5"/>
      <c r="N9" s="5">
        <v>0.38</v>
      </c>
    </row>
    <row r="10" spans="2:18">
      <c r="C10" s="5">
        <f>0.5/0.6</f>
        <v>0.83333333333333337</v>
      </c>
      <c r="D10" s="5">
        <f>1+(0.18/0.6)</f>
        <v>1.3</v>
      </c>
      <c r="E10" s="5">
        <f>0.48/0.6</f>
        <v>0.8</v>
      </c>
      <c r="F10" s="5">
        <f>0.11/0.6</f>
        <v>0.18333333333333335</v>
      </c>
      <c r="G10" s="5">
        <f>6+(0.16/0.6)</f>
        <v>6.2666666666666666</v>
      </c>
      <c r="H10" s="5">
        <f>1+(0.34/0.6)</f>
        <v>1.5666666666666669</v>
      </c>
      <c r="I10" s="5">
        <f>1+(0.19/0.6)</f>
        <v>1.3166666666666667</v>
      </c>
      <c r="J10" s="5">
        <f>0.49/0.6</f>
        <v>0.81666666666666665</v>
      </c>
      <c r="K10" s="5"/>
      <c r="L10" s="5">
        <v>1.1299999999999999</v>
      </c>
      <c r="M10" s="5"/>
      <c r="N10" s="5">
        <v>0.39</v>
      </c>
    </row>
    <row r="11" spans="2:18">
      <c r="C11" s="6">
        <f>0.51/0.6</f>
        <v>0.85000000000000009</v>
      </c>
      <c r="D11" s="6">
        <f>1+(0.15/0.6)</f>
        <v>1.25</v>
      </c>
      <c r="E11" s="6">
        <f>1+(0.02/0.6)</f>
        <v>1.0333333333333334</v>
      </c>
      <c r="F11" s="6">
        <f>0.09/0.6</f>
        <v>0.15</v>
      </c>
      <c r="G11" s="6">
        <f>3+(0.15/0.6)</f>
        <v>3.25</v>
      </c>
      <c r="H11" s="6">
        <f>1+(0.2/0.6)</f>
        <v>1.3333333333333335</v>
      </c>
      <c r="I11" s="6">
        <f>1+(0.16/0.6)</f>
        <v>1.2666666666666666</v>
      </c>
      <c r="J11" s="6">
        <f>0.48/0.6</f>
        <v>0.8</v>
      </c>
      <c r="K11" s="6"/>
      <c r="L11" s="6">
        <v>1.18</v>
      </c>
      <c r="M11" s="5"/>
      <c r="N11" s="5">
        <v>0.34</v>
      </c>
    </row>
    <row r="12" spans="2:18">
      <c r="B12" s="12" t="s">
        <v>20</v>
      </c>
      <c r="C12" s="13">
        <f>+SUM(C7:C11)</f>
        <v>4.2333333333333334</v>
      </c>
      <c r="D12" s="13">
        <f>+SUM(D7:D11)</f>
        <v>5.6833333333333336</v>
      </c>
      <c r="E12" s="13">
        <f t="shared" ref="E12:N12" si="0">+SUM(E7:E11)</f>
        <v>3.7333333333333334</v>
      </c>
      <c r="F12" s="13">
        <f t="shared" si="0"/>
        <v>0.8</v>
      </c>
      <c r="G12" s="13">
        <f t="shared" si="0"/>
        <v>18.922999999999998</v>
      </c>
      <c r="H12" s="13">
        <f>+SUM(H7:H11)</f>
        <v>8.6166666666666671</v>
      </c>
      <c r="I12" s="13">
        <f t="shared" si="0"/>
        <v>6.3</v>
      </c>
      <c r="J12" s="13">
        <f t="shared" si="0"/>
        <v>4.05</v>
      </c>
      <c r="K12" s="13">
        <f t="shared" si="0"/>
        <v>0</v>
      </c>
      <c r="L12" s="13">
        <f t="shared" si="0"/>
        <v>5.77</v>
      </c>
      <c r="M12" s="13">
        <f t="shared" si="0"/>
        <v>0</v>
      </c>
      <c r="N12" s="13">
        <f t="shared" si="0"/>
        <v>1.82</v>
      </c>
      <c r="O12" s="22" t="s">
        <v>78</v>
      </c>
      <c r="P12" s="22" t="s">
        <v>79</v>
      </c>
    </row>
    <row r="13" spans="2:18">
      <c r="B13" s="5" t="s">
        <v>80</v>
      </c>
      <c r="C13" s="5">
        <f>+C12/5</f>
        <v>0.84666666666666668</v>
      </c>
      <c r="D13" s="5">
        <f>+D12/5</f>
        <v>1.1366666666666667</v>
      </c>
      <c r="E13" s="5">
        <f t="shared" ref="E13:N13" si="1">+E12/5</f>
        <v>0.7466666666666667</v>
      </c>
      <c r="F13" s="5">
        <f t="shared" si="1"/>
        <v>0.16</v>
      </c>
      <c r="G13" s="5">
        <f t="shared" si="1"/>
        <v>3.7845999999999997</v>
      </c>
      <c r="H13" s="5">
        <f t="shared" si="1"/>
        <v>1.7233333333333334</v>
      </c>
      <c r="I13" s="5">
        <f t="shared" si="1"/>
        <v>1.26</v>
      </c>
      <c r="J13" s="5">
        <f t="shared" si="1"/>
        <v>0.80999999999999994</v>
      </c>
      <c r="K13" s="5">
        <f t="shared" si="1"/>
        <v>0</v>
      </c>
      <c r="L13" s="5">
        <f t="shared" si="1"/>
        <v>1.1539999999999999</v>
      </c>
      <c r="M13" s="5">
        <f t="shared" si="1"/>
        <v>0</v>
      </c>
      <c r="N13" s="5">
        <f t="shared" si="1"/>
        <v>0.36399999999999999</v>
      </c>
      <c r="O13" s="5">
        <f>+SUM(G13:L13)</f>
        <v>8.7319333333333322</v>
      </c>
      <c r="P13" s="5">
        <f>540/(O13+O15)</f>
        <v>53.775630145821594</v>
      </c>
    </row>
    <row r="14" spans="2:18">
      <c r="B14" s="12" t="s">
        <v>82</v>
      </c>
      <c r="C14" s="13">
        <v>0.51</v>
      </c>
      <c r="D14" s="13">
        <v>1.08</v>
      </c>
      <c r="E14" s="13">
        <f>+E13*0.6</f>
        <v>0.44800000000000001</v>
      </c>
      <c r="F14" s="13">
        <f>+F13*0.6</f>
        <v>9.6000000000000002E-2</v>
      </c>
      <c r="G14" s="13">
        <f>3+(0.7846*0.6)</f>
        <v>3.4707599999999998</v>
      </c>
      <c r="H14" s="13">
        <f>1+(0.7233*0.6)</f>
        <v>1.43398</v>
      </c>
      <c r="I14" s="13">
        <f>1+(0.26*0.6)</f>
        <v>1.1559999999999999</v>
      </c>
      <c r="J14" s="13">
        <f>+J13*0.6</f>
        <v>0.48599999999999993</v>
      </c>
      <c r="K14" s="13"/>
      <c r="L14" s="13"/>
      <c r="M14" s="13"/>
      <c r="N14" s="13"/>
      <c r="O14" s="22" t="s">
        <v>83</v>
      </c>
      <c r="P14" s="22" t="s">
        <v>84</v>
      </c>
    </row>
    <row r="15" spans="2:18">
      <c r="B15" s="5" t="s">
        <v>85</v>
      </c>
      <c r="C15" s="5">
        <f>+C13*0.15</f>
        <v>0.127</v>
      </c>
      <c r="D15" s="5">
        <f t="shared" ref="D15:N15" si="2">+D13*0.15</f>
        <v>0.17050000000000001</v>
      </c>
      <c r="E15" s="5">
        <f t="shared" si="2"/>
        <v>0.112</v>
      </c>
      <c r="F15" s="5">
        <f t="shared" si="2"/>
        <v>2.4E-2</v>
      </c>
      <c r="G15" s="5">
        <f t="shared" si="2"/>
        <v>0.56768999999999992</v>
      </c>
      <c r="H15" s="5">
        <f t="shared" si="2"/>
        <v>0.25850000000000001</v>
      </c>
      <c r="I15" s="5">
        <f t="shared" si="2"/>
        <v>0.189</v>
      </c>
      <c r="J15" s="5">
        <f t="shared" si="2"/>
        <v>0.12149999999999998</v>
      </c>
      <c r="K15" s="5">
        <f t="shared" si="2"/>
        <v>0</v>
      </c>
      <c r="L15" s="5">
        <f t="shared" si="2"/>
        <v>0.17309999999999998</v>
      </c>
      <c r="M15" s="5">
        <f t="shared" si="2"/>
        <v>0</v>
      </c>
      <c r="N15" s="5">
        <f t="shared" si="2"/>
        <v>5.4599999999999996E-2</v>
      </c>
      <c r="O15" s="27">
        <f>+SUM(G15:L15)</f>
        <v>1.30979</v>
      </c>
      <c r="P15" s="5">
        <f>660/(O13+O15)</f>
        <v>65.725770178226384</v>
      </c>
    </row>
    <row r="16" spans="2:18">
      <c r="B16" s="12" t="s">
        <v>86</v>
      </c>
      <c r="C16" s="13">
        <f>540/(C13+C15)</f>
        <v>554.60458747004452</v>
      </c>
      <c r="D16" s="13">
        <f t="shared" ref="D16:N16" si="3">540/(D13+D15)</f>
        <v>413.10722937651406</v>
      </c>
      <c r="E16" s="13">
        <f t="shared" si="3"/>
        <v>628.88198757763973</v>
      </c>
      <c r="F16" s="13">
        <f>540/(F13+F15)</f>
        <v>2934.782608695652</v>
      </c>
      <c r="G16" s="13">
        <f t="shared" si="3"/>
        <v>124.07261464654239</v>
      </c>
      <c r="H16" s="13">
        <f t="shared" si="3"/>
        <v>272.47498107812629</v>
      </c>
      <c r="I16" s="13">
        <f t="shared" si="3"/>
        <v>372.67080745341616</v>
      </c>
      <c r="J16" s="13">
        <f t="shared" si="3"/>
        <v>579.71014492753625</v>
      </c>
      <c r="K16" s="13" t="e">
        <f t="shared" si="3"/>
        <v>#DIV/0!</v>
      </c>
      <c r="L16" s="13">
        <f t="shared" si="3"/>
        <v>406.90226810338334</v>
      </c>
      <c r="M16" s="13" t="e">
        <f t="shared" si="3"/>
        <v>#DIV/0!</v>
      </c>
      <c r="N16" s="13">
        <f t="shared" si="3"/>
        <v>1290.0143334925945</v>
      </c>
    </row>
    <row r="17" spans="2:14">
      <c r="B17" s="21" t="s">
        <v>171</v>
      </c>
      <c r="C17" s="34">
        <f>+C16/500</f>
        <v>1.109209174940089</v>
      </c>
      <c r="D17" s="34">
        <f t="shared" ref="D17:N17" si="4">+D16/500</f>
        <v>0.82621445875302812</v>
      </c>
      <c r="E17" s="34">
        <f t="shared" si="4"/>
        <v>1.2577639751552794</v>
      </c>
      <c r="F17" s="34">
        <f t="shared" si="4"/>
        <v>5.8695652173913038</v>
      </c>
      <c r="G17" s="34">
        <f t="shared" si="4"/>
        <v>0.24814522929308477</v>
      </c>
      <c r="H17" s="34">
        <f t="shared" si="4"/>
        <v>0.54494996215625258</v>
      </c>
      <c r="I17" s="34">
        <f t="shared" si="4"/>
        <v>0.74534161490683237</v>
      </c>
      <c r="J17" s="34">
        <f t="shared" si="4"/>
        <v>1.1594202898550725</v>
      </c>
      <c r="K17" s="34" t="e">
        <f t="shared" si="4"/>
        <v>#DIV/0!</v>
      </c>
      <c r="L17" s="34">
        <f t="shared" si="4"/>
        <v>0.81380453620676663</v>
      </c>
      <c r="M17" s="34" t="e">
        <f t="shared" si="4"/>
        <v>#DIV/0!</v>
      </c>
      <c r="N17" s="34">
        <f t="shared" si="4"/>
        <v>2.5800286669851888</v>
      </c>
    </row>
    <row r="18" spans="2:14">
      <c r="B18" s="40" t="s">
        <v>67</v>
      </c>
      <c r="C18" t="str">
        <f t="shared" ref="C18:L18" si="5">+IF(C13&lt;$C$33,$B$38, $B$39)</f>
        <v>BUEN TIEMPO</v>
      </c>
      <c r="D18" t="str">
        <f t="shared" si="5"/>
        <v>BUEN TIEMPO</v>
      </c>
      <c r="E18" t="str">
        <f t="shared" si="5"/>
        <v>BUEN TIEMPO</v>
      </c>
      <c r="F18" t="str">
        <f t="shared" si="5"/>
        <v>BUEN TIEMPO</v>
      </c>
      <c r="G18" t="str">
        <f t="shared" si="5"/>
        <v>BUEN TIEMPO</v>
      </c>
      <c r="H18" t="str">
        <f t="shared" si="5"/>
        <v>BUEN TIEMPO</v>
      </c>
      <c r="I18" t="str">
        <f t="shared" si="5"/>
        <v>BUEN TIEMPO</v>
      </c>
      <c r="J18" t="str">
        <f t="shared" si="5"/>
        <v>BUEN TIEMPO</v>
      </c>
      <c r="K18" t="str">
        <f t="shared" si="5"/>
        <v>BUEN TIEMPO</v>
      </c>
      <c r="L18" t="str">
        <f t="shared" si="5"/>
        <v>BUEN TIEMPO</v>
      </c>
      <c r="M18" t="str">
        <f t="shared" ref="M18:N18" si="6">+IF(M13&lt;$C$33,$B$38, $B$39)</f>
        <v>BUEN TIEMPO</v>
      </c>
      <c r="N18" t="str">
        <f t="shared" si="6"/>
        <v>BUEN TIEMPO</v>
      </c>
    </row>
    <row r="22" spans="2:14">
      <c r="B22" s="5" t="s">
        <v>2</v>
      </c>
      <c r="C22" s="5" t="s">
        <v>172</v>
      </c>
      <c r="D22" s="5" t="s">
        <v>3</v>
      </c>
      <c r="E22" s="5" t="s">
        <v>173</v>
      </c>
      <c r="F22" s="5" t="s">
        <v>166</v>
      </c>
      <c r="G22" s="5" t="s">
        <v>161</v>
      </c>
      <c r="H22" s="5" t="s">
        <v>6</v>
      </c>
      <c r="I22" s="5" t="s">
        <v>7</v>
      </c>
      <c r="J22" s="5" t="s">
        <v>162</v>
      </c>
      <c r="K22" s="5" t="s">
        <v>174</v>
      </c>
    </row>
    <row r="23" spans="2:14" ht="75" customHeight="1">
      <c r="B23" s="5" t="s">
        <v>9</v>
      </c>
      <c r="C23" s="39" t="s">
        <v>10</v>
      </c>
      <c r="D23" s="39" t="s">
        <v>11</v>
      </c>
      <c r="E23" s="39" t="s">
        <v>175</v>
      </c>
      <c r="F23" s="39" t="s">
        <v>12</v>
      </c>
      <c r="G23" s="39" t="s">
        <v>176</v>
      </c>
      <c r="H23" s="39" t="s">
        <v>177</v>
      </c>
      <c r="I23" s="39" t="s">
        <v>178</v>
      </c>
      <c r="J23" s="39" t="s">
        <v>179</v>
      </c>
      <c r="K23" s="39" t="s">
        <v>180</v>
      </c>
    </row>
    <row r="24" spans="2:14">
      <c r="C24" s="5">
        <f>+C7</f>
        <v>0.85000000000000009</v>
      </c>
      <c r="D24" s="5">
        <f>+D7</f>
        <v>0.93333333333333346</v>
      </c>
      <c r="E24" s="5">
        <f>+E7+F7+L7</f>
        <v>2.0033333333333334</v>
      </c>
      <c r="F24" s="5">
        <f>+E7+N7</f>
        <v>1.0433333333333334</v>
      </c>
      <c r="G24" s="5">
        <f>+G7</f>
        <v>3.0333333333333332</v>
      </c>
      <c r="H24" s="5">
        <f>+K7+H7</f>
        <v>2</v>
      </c>
      <c r="I24" s="5">
        <f>+I7+L7</f>
        <v>2.42</v>
      </c>
      <c r="J24" s="5">
        <f>+J7</f>
        <v>0.78333333333333333</v>
      </c>
      <c r="K24" s="5">
        <f>+F7+K7+C7</f>
        <v>1</v>
      </c>
    </row>
    <row r="25" spans="2:14">
      <c r="C25" s="5">
        <f t="shared" ref="C25:D28" si="7">+C8</f>
        <v>0.88333333333333341</v>
      </c>
      <c r="D25" s="5">
        <f t="shared" si="7"/>
        <v>0.85000000000000009</v>
      </c>
      <c r="E25" s="5">
        <f>+E8+F8+L8</f>
        <v>2.0666666666666664</v>
      </c>
      <c r="F25" s="5">
        <f t="shared" ref="F25:F28" si="8">+E8+N8</f>
        <v>1.0499999999999998</v>
      </c>
      <c r="G25" s="5">
        <f t="shared" ref="G25:G28" si="9">+G8</f>
        <v>3.0030000000000001</v>
      </c>
      <c r="H25" s="5">
        <f t="shared" ref="H25:H28" si="10">+K8+H8</f>
        <v>1.6833333333333333</v>
      </c>
      <c r="I25" s="5">
        <f>+I8+L8</f>
        <v>2.333333333333333</v>
      </c>
      <c r="J25" s="5">
        <f t="shared" ref="J25:J28" si="11">+J8</f>
        <v>0.78333333333333333</v>
      </c>
      <c r="K25" s="5">
        <f t="shared" ref="K25:K28" si="12">+F8+K8+C8</f>
        <v>1.05</v>
      </c>
    </row>
    <row r="26" spans="2:14">
      <c r="C26" s="5">
        <f t="shared" si="7"/>
        <v>0.81666666666666665</v>
      </c>
      <c r="D26" s="5">
        <f t="shared" si="7"/>
        <v>1.35</v>
      </c>
      <c r="E26" s="5">
        <f t="shared" ref="E26:E27" si="13">+E9+F9+L9</f>
        <v>1.7566666666666668</v>
      </c>
      <c r="F26" s="5">
        <f t="shared" si="8"/>
        <v>0.89666666666666672</v>
      </c>
      <c r="G26" s="5">
        <f t="shared" si="9"/>
        <v>3.37</v>
      </c>
      <c r="H26" s="5">
        <f t="shared" si="10"/>
        <v>2.0333333333333332</v>
      </c>
      <c r="I26" s="5">
        <f t="shared" ref="I26:I28" si="14">+I9+L9</f>
        <v>2.4233333333333338</v>
      </c>
      <c r="J26" s="5">
        <f t="shared" si="11"/>
        <v>0.8666666666666667</v>
      </c>
      <c r="K26" s="5">
        <f t="shared" si="12"/>
        <v>0.96666666666666667</v>
      </c>
    </row>
    <row r="27" spans="2:14">
      <c r="C27" s="5">
        <f t="shared" si="7"/>
        <v>0.83333333333333337</v>
      </c>
      <c r="D27" s="5">
        <f t="shared" si="7"/>
        <v>1.3</v>
      </c>
      <c r="E27" s="5">
        <f t="shared" si="13"/>
        <v>2.1133333333333333</v>
      </c>
      <c r="F27" s="5">
        <f t="shared" si="8"/>
        <v>1.19</v>
      </c>
      <c r="G27" s="5">
        <f t="shared" si="9"/>
        <v>6.2666666666666666</v>
      </c>
      <c r="H27" s="5">
        <f t="shared" si="10"/>
        <v>1.5666666666666669</v>
      </c>
      <c r="I27" s="5">
        <f t="shared" si="14"/>
        <v>2.4466666666666663</v>
      </c>
      <c r="J27" s="5">
        <f t="shared" si="11"/>
        <v>0.81666666666666665</v>
      </c>
      <c r="K27" s="5">
        <f t="shared" si="12"/>
        <v>1.0166666666666666</v>
      </c>
    </row>
    <row r="28" spans="2:14">
      <c r="C28" s="5">
        <f t="shared" si="7"/>
        <v>0.85000000000000009</v>
      </c>
      <c r="D28" s="5">
        <f t="shared" si="7"/>
        <v>1.25</v>
      </c>
      <c r="E28" s="5">
        <f>+E11+F11+L11</f>
        <v>2.3633333333333333</v>
      </c>
      <c r="F28" s="5">
        <f t="shared" si="8"/>
        <v>1.3733333333333335</v>
      </c>
      <c r="G28" s="5">
        <f t="shared" si="9"/>
        <v>3.25</v>
      </c>
      <c r="H28" s="5">
        <f t="shared" si="10"/>
        <v>1.3333333333333335</v>
      </c>
      <c r="I28" s="5">
        <f t="shared" si="14"/>
        <v>2.4466666666666663</v>
      </c>
      <c r="J28" s="5">
        <f t="shared" si="11"/>
        <v>0.8</v>
      </c>
      <c r="K28" s="5">
        <f t="shared" si="12"/>
        <v>1</v>
      </c>
    </row>
    <row r="29" spans="2:14">
      <c r="B29" s="12" t="s">
        <v>20</v>
      </c>
      <c r="C29" s="13">
        <f>+SUM(C24:C28)</f>
        <v>4.2333333333333334</v>
      </c>
      <c r="D29" s="13">
        <f>+SUM(D24:D28)</f>
        <v>5.6833333333333336</v>
      </c>
      <c r="E29" s="13">
        <f>+SUM(E24:E28)</f>
        <v>10.303333333333335</v>
      </c>
      <c r="F29" s="13">
        <f t="shared" ref="F29:G29" si="15">+SUM(F24:F28)</f>
        <v>5.5533333333333328</v>
      </c>
      <c r="G29" s="13">
        <f t="shared" si="15"/>
        <v>18.922999999999998</v>
      </c>
      <c r="H29" s="13">
        <f>+SUM(H24:H28)</f>
        <v>8.6166666666666671</v>
      </c>
      <c r="I29" s="13">
        <f t="shared" ref="I29:K29" si="16">+SUM(I24:I28)</f>
        <v>12.07</v>
      </c>
      <c r="J29" s="13">
        <f t="shared" si="16"/>
        <v>4.05</v>
      </c>
      <c r="K29" s="13">
        <f t="shared" si="16"/>
        <v>5.0333333333333332</v>
      </c>
    </row>
    <row r="30" spans="2:14">
      <c r="B30" s="5" t="s">
        <v>80</v>
      </c>
      <c r="C30" s="5">
        <f>+C29/5</f>
        <v>0.84666666666666668</v>
      </c>
      <c r="D30" s="5">
        <f>+D29/5</f>
        <v>1.1366666666666667</v>
      </c>
      <c r="E30" s="5">
        <f t="shared" ref="E30:K30" si="17">+E29/5</f>
        <v>2.0606666666666671</v>
      </c>
      <c r="F30" s="5">
        <f t="shared" si="17"/>
        <v>1.1106666666666665</v>
      </c>
      <c r="G30" s="5">
        <f t="shared" si="17"/>
        <v>3.7845999999999997</v>
      </c>
      <c r="H30" s="5">
        <f t="shared" si="17"/>
        <v>1.7233333333333334</v>
      </c>
      <c r="I30" s="5">
        <f t="shared" si="17"/>
        <v>2.4140000000000001</v>
      </c>
      <c r="J30" s="5">
        <f t="shared" si="17"/>
        <v>0.80999999999999994</v>
      </c>
      <c r="K30" s="5">
        <f t="shared" si="17"/>
        <v>1.0066666666666666</v>
      </c>
    </row>
    <row r="31" spans="2:14">
      <c r="B31" s="12" t="s">
        <v>82</v>
      </c>
      <c r="C31" s="13">
        <v>0.51</v>
      </c>
      <c r="D31" s="13">
        <v>1.08</v>
      </c>
      <c r="E31" s="13">
        <f>+E30*0.6</f>
        <v>1.2364000000000002</v>
      </c>
      <c r="F31" s="13">
        <f>+F30*0.6</f>
        <v>0.66639999999999988</v>
      </c>
      <c r="G31" s="13">
        <f>3+(0.7846*0.6)</f>
        <v>3.4707599999999998</v>
      </c>
      <c r="H31" s="13">
        <f>1+(0.7233*0.6)</f>
        <v>1.43398</v>
      </c>
      <c r="I31" s="13">
        <f>1+(0.26*0.6)</f>
        <v>1.1559999999999999</v>
      </c>
      <c r="J31" s="13">
        <f t="shared" ref="J31:K31" si="18">1+(0.26*0.6)</f>
        <v>1.1559999999999999</v>
      </c>
      <c r="K31" s="13">
        <f t="shared" si="18"/>
        <v>1.1559999999999999</v>
      </c>
    </row>
    <row r="32" spans="2:14">
      <c r="B32" s="5" t="s">
        <v>85</v>
      </c>
      <c r="C32" s="5">
        <f>+C30*0.15</f>
        <v>0.127</v>
      </c>
      <c r="D32" s="5">
        <f t="shared" ref="D32:K32" si="19">+D30*0.15</f>
        <v>0.17050000000000001</v>
      </c>
      <c r="E32" s="5">
        <f t="shared" si="19"/>
        <v>0.30910000000000004</v>
      </c>
      <c r="F32" s="5">
        <f t="shared" si="19"/>
        <v>0.16659999999999997</v>
      </c>
      <c r="G32" s="5">
        <f t="shared" si="19"/>
        <v>0.56768999999999992</v>
      </c>
      <c r="H32" s="5">
        <f t="shared" si="19"/>
        <v>0.25850000000000001</v>
      </c>
      <c r="I32" s="5">
        <f t="shared" si="19"/>
        <v>0.36210000000000003</v>
      </c>
      <c r="J32" s="5">
        <f t="shared" si="19"/>
        <v>0.12149999999999998</v>
      </c>
      <c r="K32" s="5">
        <f t="shared" si="19"/>
        <v>0.151</v>
      </c>
    </row>
    <row r="33" spans="2:11">
      <c r="B33" s="12" t="s">
        <v>86</v>
      </c>
      <c r="C33" s="13">
        <f>540/(C30+C32)</f>
        <v>554.60458747004452</v>
      </c>
      <c r="D33" s="13">
        <f t="shared" ref="D33:E33" si="20">540/(D30+D32)</f>
        <v>413.10722937651406</v>
      </c>
      <c r="E33" s="13">
        <f t="shared" si="20"/>
        <v>227.8705357770807</v>
      </c>
      <c r="F33" s="13">
        <f>540/(F30+F32)</f>
        <v>422.77780677488397</v>
      </c>
      <c r="G33" s="13">
        <f t="shared" ref="G33:K33" si="21">540/(G30+G32)</f>
        <v>124.07261464654239</v>
      </c>
      <c r="H33" s="13">
        <f t="shared" si="21"/>
        <v>272.47498107812629</v>
      </c>
      <c r="I33" s="13">
        <f t="shared" si="21"/>
        <v>194.51748856309212</v>
      </c>
      <c r="J33" s="13">
        <f t="shared" si="21"/>
        <v>579.71014492753625</v>
      </c>
      <c r="K33" s="13">
        <f t="shared" si="21"/>
        <v>466.4555139648719</v>
      </c>
    </row>
    <row r="34" spans="2:11">
      <c r="B34" s="21" t="s">
        <v>171</v>
      </c>
      <c r="C34" s="34">
        <f>+C33/500</f>
        <v>1.109209174940089</v>
      </c>
      <c r="D34" s="45">
        <f t="shared" ref="D34:K34" si="22">+D33/500</f>
        <v>0.82621445875302812</v>
      </c>
      <c r="E34" s="48">
        <f t="shared" si="22"/>
        <v>0.45574107155416138</v>
      </c>
      <c r="F34" s="46">
        <f t="shared" si="22"/>
        <v>0.84555561354976794</v>
      </c>
      <c r="G34" s="34">
        <f t="shared" si="22"/>
        <v>0.24814522929308477</v>
      </c>
      <c r="H34" s="45">
        <f t="shared" si="22"/>
        <v>0.54494996215625258</v>
      </c>
      <c r="I34" s="47">
        <f t="shared" si="22"/>
        <v>0.38903497712618423</v>
      </c>
      <c r="J34" s="46">
        <f t="shared" si="22"/>
        <v>1.1594202898550725</v>
      </c>
      <c r="K34" s="34">
        <f t="shared" si="22"/>
        <v>0.93291102792974379</v>
      </c>
    </row>
    <row r="35" spans="2:11">
      <c r="B35" s="40" t="s">
        <v>67</v>
      </c>
      <c r="C35" t="str">
        <f t="shared" ref="C35:I35" si="23">+IF(C30&lt;$C$33,$B$38, $B$39)</f>
        <v>BUEN TIEMPO</v>
      </c>
      <c r="D35" t="str">
        <f t="shared" si="23"/>
        <v>BUEN TIEMPO</v>
      </c>
      <c r="E35" s="5" t="str">
        <f t="shared" si="23"/>
        <v>BUEN TIEMPO</v>
      </c>
      <c r="F35" s="5" t="str">
        <f t="shared" si="23"/>
        <v>BUEN TIEMPO</v>
      </c>
      <c r="G35" t="str">
        <f t="shared" si="23"/>
        <v>BUEN TIEMPO</v>
      </c>
      <c r="H35" t="str">
        <f t="shared" si="23"/>
        <v>BUEN TIEMPO</v>
      </c>
      <c r="I35" s="5" t="str">
        <f t="shared" si="23"/>
        <v>BUEN TIEMPO</v>
      </c>
      <c r="J35" t="str">
        <f t="shared" ref="J35:K35" si="24">+IF(J30&lt;$C$33,$B$38, $B$39)</f>
        <v>BUEN TIEMPO</v>
      </c>
      <c r="K35" t="str">
        <f t="shared" si="24"/>
        <v>BUEN TIEMPO</v>
      </c>
    </row>
    <row r="38" spans="2:11">
      <c r="B38" s="42" t="s">
        <v>130</v>
      </c>
      <c r="C38" t="s">
        <v>131</v>
      </c>
    </row>
    <row r="39" spans="2:11">
      <c r="B39" s="41" t="s">
        <v>132</v>
      </c>
      <c r="C39" t="s">
        <v>133</v>
      </c>
    </row>
    <row r="40" spans="2:11">
      <c r="B40" s="5" t="s">
        <v>134</v>
      </c>
      <c r="C40" t="s">
        <v>135</v>
      </c>
    </row>
  </sheetData>
  <conditionalFormatting sqref="C35:K35">
    <cfRule type="containsText" dxfId="9" priority="1" operator="containsText" text="MAL TIEMPO">
      <formula>NOT(ISERROR(SEARCH("MAL TIEMPO",C35)))</formula>
    </cfRule>
    <cfRule type="containsText" dxfId="8" priority="2" operator="containsText" text="BUEN TIEMPO">
      <formula>NOT(ISERROR(SEARCH("BUEN TIEMPO",C35)))</formula>
    </cfRule>
  </conditionalFormatting>
  <conditionalFormatting sqref="C18:N18">
    <cfRule type="containsText" dxfId="7" priority="3" operator="containsText" text="MAL TIEMPO">
      <formula>NOT(ISERROR(SEARCH("MAL TIEMPO",C18)))</formula>
    </cfRule>
    <cfRule type="containsText" dxfId="6" priority="4" operator="containsText" text="BUEN TIEMPO">
      <formula>NOT(ISERROR(SEARCH("BUEN TIEMPO",C18)))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D728-BD50-468E-AB47-4D91E86C4589}">
  <dimension ref="B3:H28"/>
  <sheetViews>
    <sheetView topLeftCell="A10" zoomScale="85" zoomScaleNormal="85" workbookViewId="0">
      <selection activeCell="J11" sqref="J11"/>
    </sheetView>
  </sheetViews>
  <sheetFormatPr defaultColWidth="11.42578125" defaultRowHeight="15"/>
  <cols>
    <col min="2" max="2" width="19.28515625" customWidth="1"/>
    <col min="3" max="3" width="15.140625" customWidth="1"/>
    <col min="4" max="4" width="20.28515625" customWidth="1"/>
    <col min="5" max="5" width="20.42578125" customWidth="1"/>
    <col min="6" max="6" width="18.5703125" customWidth="1"/>
    <col min="7" max="7" width="19.28515625" customWidth="1"/>
    <col min="8" max="8" width="13.7109375" customWidth="1"/>
  </cols>
  <sheetData>
    <row r="3" spans="2:8">
      <c r="C3" s="1" t="s">
        <v>46</v>
      </c>
    </row>
    <row r="4" spans="2:8">
      <c r="B4" s="5" t="s">
        <v>2</v>
      </c>
      <c r="C4" s="5"/>
      <c r="D4" s="5" t="s">
        <v>100</v>
      </c>
      <c r="E4" s="5"/>
      <c r="F4" s="5"/>
    </row>
    <row r="5" spans="2:8">
      <c r="B5" s="5" t="s">
        <v>9</v>
      </c>
      <c r="C5" s="5" t="s">
        <v>47</v>
      </c>
      <c r="D5" s="7" t="s">
        <v>101</v>
      </c>
      <c r="E5" s="5" t="s">
        <v>181</v>
      </c>
      <c r="F5" s="5" t="s">
        <v>102</v>
      </c>
    </row>
    <row r="6" spans="2:8">
      <c r="C6" s="25">
        <f>0.55/0.6</f>
        <v>0.91666666666666674</v>
      </c>
      <c r="D6" s="25">
        <f>1+(0.17/0.6)</f>
        <v>1.2833333333333334</v>
      </c>
      <c r="F6" s="25">
        <f>0.5/0.6</f>
        <v>0.83333333333333337</v>
      </c>
    </row>
    <row r="7" spans="2:8">
      <c r="C7" s="5">
        <f>0.44/0.6</f>
        <v>0.73333333333333339</v>
      </c>
      <c r="D7" s="5">
        <f>1+(0.14/0.6)</f>
        <v>1.2333333333333334</v>
      </c>
      <c r="F7" s="5">
        <f>0.27/0.6</f>
        <v>0.45000000000000007</v>
      </c>
    </row>
    <row r="8" spans="2:8">
      <c r="C8" s="5">
        <v>1</v>
      </c>
      <c r="D8" s="5">
        <f>1+(0.17/0.6)</f>
        <v>1.2833333333333334</v>
      </c>
      <c r="F8" s="5">
        <f>0.28/0.6</f>
        <v>0.46666666666666673</v>
      </c>
    </row>
    <row r="9" spans="2:8">
      <c r="C9" s="5">
        <f>0.54/0.6</f>
        <v>0.90000000000000013</v>
      </c>
      <c r="D9" s="5">
        <f>1+(0.18/0.6)</f>
        <v>1.3</v>
      </c>
      <c r="F9" s="5">
        <f>0.26/0.6</f>
        <v>0.43333333333333335</v>
      </c>
    </row>
    <row r="10" spans="2:8">
      <c r="C10" s="5">
        <f>0.43/0.6</f>
        <v>0.71666666666666667</v>
      </c>
      <c r="D10" s="5">
        <f>1+(0.11/0.6)</f>
        <v>1.1833333333333333</v>
      </c>
      <c r="F10" s="5">
        <f>0.24/0.6</f>
        <v>0.4</v>
      </c>
    </row>
    <row r="11" spans="2:8">
      <c r="B11" s="12" t="s">
        <v>20</v>
      </c>
      <c r="C11" s="13">
        <f>+SUM(C6:C10)</f>
        <v>4.2666666666666675</v>
      </c>
      <c r="D11" s="13">
        <f>+SUM(D6:D10)</f>
        <v>6.2833333333333332</v>
      </c>
      <c r="E11" s="13">
        <f>+SUM(E6:E10)</f>
        <v>0</v>
      </c>
      <c r="F11" s="13">
        <f t="shared" ref="F11" si="0">+SUM(F6:F10)</f>
        <v>2.5833333333333335</v>
      </c>
      <c r="G11" s="22" t="s">
        <v>78</v>
      </c>
      <c r="H11" s="22" t="s">
        <v>79</v>
      </c>
    </row>
    <row r="12" spans="2:8">
      <c r="B12" s="5" t="s">
        <v>80</v>
      </c>
      <c r="C12" s="5">
        <f>+C11/5</f>
        <v>0.8533333333333335</v>
      </c>
      <c r="D12" s="5">
        <f>+D11/5</f>
        <v>1.2566666666666666</v>
      </c>
      <c r="E12" s="5">
        <f>+E11/5</f>
        <v>0</v>
      </c>
      <c r="F12" s="5">
        <f t="shared" ref="F12" si="1">+F11/5</f>
        <v>0.51666666666666672</v>
      </c>
      <c r="G12" s="5">
        <f>+SUM(C12:F12)</f>
        <v>2.6266666666666669</v>
      </c>
      <c r="H12" s="5">
        <f>540/(G12+G14)</f>
        <v>178.76848377841534</v>
      </c>
    </row>
    <row r="13" spans="2:8">
      <c r="B13" s="12" t="s">
        <v>82</v>
      </c>
      <c r="C13" s="13"/>
      <c r="D13" s="13"/>
      <c r="E13" s="13"/>
      <c r="F13" s="13"/>
      <c r="G13" s="22" t="s">
        <v>83</v>
      </c>
      <c r="H13" s="22" t="s">
        <v>84</v>
      </c>
    </row>
    <row r="14" spans="2:8">
      <c r="B14" s="5" t="s">
        <v>85</v>
      </c>
      <c r="C14" s="5">
        <f>+C12*0.15</f>
        <v>0.12800000000000003</v>
      </c>
      <c r="D14" s="5">
        <f t="shared" ref="D14:E14" si="2">+D12*0.15</f>
        <v>0.18849999999999997</v>
      </c>
      <c r="E14" s="5">
        <f t="shared" si="2"/>
        <v>0</v>
      </c>
      <c r="F14" s="5">
        <f>+F12*0.15</f>
        <v>7.7499999999999999E-2</v>
      </c>
      <c r="G14" s="5">
        <f>+SUM(C14:F14)</f>
        <v>0.39400000000000002</v>
      </c>
      <c r="H14" s="5">
        <f>660/(G12+G14)</f>
        <v>218.49481350695208</v>
      </c>
    </row>
    <row r="15" spans="2:8">
      <c r="B15" s="12" t="s">
        <v>86</v>
      </c>
      <c r="C15" s="13">
        <f>540/(C12+C14)</f>
        <v>550.27173913043464</v>
      </c>
      <c r="D15" s="13">
        <f t="shared" ref="D15:E15" si="3">540/(D12+D14)</f>
        <v>373.65932418406186</v>
      </c>
      <c r="E15" s="13" t="e">
        <f t="shared" si="3"/>
        <v>#DIV/0!</v>
      </c>
      <c r="F15" s="13">
        <f>540/(F12+F14)</f>
        <v>908.83590462833092</v>
      </c>
    </row>
    <row r="16" spans="2:8">
      <c r="B16" s="5" t="s">
        <v>122</v>
      </c>
      <c r="C16" s="33">
        <f>+C15/500</f>
        <v>1.1005434782608692</v>
      </c>
      <c r="D16" s="33">
        <f t="shared" ref="D16:F16" si="4">+D15/500</f>
        <v>0.74731864836812367</v>
      </c>
      <c r="E16" s="33" t="e">
        <f t="shared" si="4"/>
        <v>#DIV/0!</v>
      </c>
      <c r="F16" s="33">
        <f t="shared" si="4"/>
        <v>1.8176718092566619</v>
      </c>
    </row>
    <row r="17" spans="2:8">
      <c r="B17" s="40" t="s">
        <v>67</v>
      </c>
      <c r="C17" t="str">
        <f>+IF(C12&lt;$C$21,$B$26, $B$27)</f>
        <v>BUEN TIEMPO</v>
      </c>
      <c r="D17" t="str">
        <f t="shared" ref="D17:F17" si="5">+IF(D12&lt;$C$21,$B$26, $B$27)</f>
        <v>MAL TIEMPO</v>
      </c>
      <c r="E17" t="str">
        <f t="shared" si="5"/>
        <v>BUEN TIEMPO</v>
      </c>
      <c r="F17" t="str">
        <f t="shared" si="5"/>
        <v>BUEN TIEMPO</v>
      </c>
    </row>
    <row r="21" spans="2:8">
      <c r="B21" s="5" t="s">
        <v>67</v>
      </c>
      <c r="C21" s="5">
        <f>+C22/C23</f>
        <v>1.08</v>
      </c>
      <c r="D21" t="s">
        <v>68</v>
      </c>
      <c r="E21" s="5">
        <f>+E22/E23</f>
        <v>1.08</v>
      </c>
      <c r="F21" t="s">
        <v>69</v>
      </c>
      <c r="G21" s="5">
        <f>+G22/G23</f>
        <v>1.08</v>
      </c>
      <c r="H21" t="s">
        <v>69</v>
      </c>
    </row>
    <row r="22" spans="2:8">
      <c r="B22" s="5" t="s">
        <v>70</v>
      </c>
      <c r="C22" s="5">
        <v>10800</v>
      </c>
      <c r="D22" t="s">
        <v>71</v>
      </c>
      <c r="E22" s="5">
        <v>2700</v>
      </c>
      <c r="F22" t="s">
        <v>72</v>
      </c>
      <c r="G22" s="5">
        <v>540</v>
      </c>
      <c r="H22" t="s">
        <v>73</v>
      </c>
    </row>
    <row r="23" spans="2:8">
      <c r="B23" s="5" t="s">
        <v>74</v>
      </c>
      <c r="C23" s="5">
        <v>10000</v>
      </c>
      <c r="D23" t="s">
        <v>75</v>
      </c>
      <c r="E23" s="5">
        <f>+C23/4</f>
        <v>2500</v>
      </c>
      <c r="F23" t="s">
        <v>76</v>
      </c>
      <c r="G23" s="5">
        <f>+E23/5</f>
        <v>500</v>
      </c>
      <c r="H23" t="s">
        <v>77</v>
      </c>
    </row>
    <row r="26" spans="2:8">
      <c r="B26" s="42" t="s">
        <v>130</v>
      </c>
      <c r="C26" t="s">
        <v>131</v>
      </c>
    </row>
    <row r="27" spans="2:8">
      <c r="B27" s="41" t="s">
        <v>132</v>
      </c>
      <c r="C27" t="s">
        <v>133</v>
      </c>
    </row>
    <row r="28" spans="2:8">
      <c r="B28" s="5" t="s">
        <v>134</v>
      </c>
      <c r="C28" t="s">
        <v>135</v>
      </c>
    </row>
  </sheetData>
  <conditionalFormatting sqref="C17:H17">
    <cfRule type="containsText" dxfId="5" priority="1" operator="containsText" text="MAL TIEMPO">
      <formula>NOT(ISERROR(SEARCH("MAL TIEMPO",C17)))</formula>
    </cfRule>
    <cfRule type="containsText" dxfId="4" priority="2" operator="containsText" text="BUEN TIEMPO">
      <formula>NOT(ISERROR(SEARCH("BUEN TIEMPO",C17)))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633DF-70C0-40F8-8949-B99673600706}">
  <dimension ref="B2:K43"/>
  <sheetViews>
    <sheetView topLeftCell="A18" zoomScale="85" zoomScaleNormal="85" workbookViewId="0">
      <selection activeCell="J47" sqref="J47"/>
    </sheetView>
  </sheetViews>
  <sheetFormatPr defaultColWidth="11.42578125" defaultRowHeight="15"/>
  <cols>
    <col min="2" max="2" width="19.28515625" customWidth="1"/>
    <col min="3" max="3" width="22.28515625" customWidth="1"/>
    <col min="4" max="4" width="14.28515625" customWidth="1"/>
    <col min="5" max="5" width="13.85546875" customWidth="1"/>
    <col min="6" max="6" width="12.7109375" customWidth="1"/>
    <col min="7" max="7" width="19.140625" customWidth="1"/>
    <col min="8" max="8" width="19.28515625" customWidth="1"/>
    <col min="9" max="9" width="13.7109375" customWidth="1"/>
    <col min="10" max="10" width="27.140625" customWidth="1"/>
    <col min="11" max="11" width="26.7109375" customWidth="1"/>
  </cols>
  <sheetData>
    <row r="2" spans="2:11">
      <c r="C2" s="29" t="s">
        <v>51</v>
      </c>
    </row>
    <row r="3" spans="2:11">
      <c r="B3" s="5" t="s">
        <v>2</v>
      </c>
      <c r="C3" s="5" t="s">
        <v>0</v>
      </c>
      <c r="D3" s="5" t="s">
        <v>105</v>
      </c>
      <c r="E3" s="5" t="s">
        <v>106</v>
      </c>
      <c r="F3" s="5" t="s">
        <v>107</v>
      </c>
      <c r="G3" s="5" t="s">
        <v>108</v>
      </c>
      <c r="H3" s="5" t="s">
        <v>109</v>
      </c>
      <c r="I3" s="5" t="s">
        <v>110</v>
      </c>
      <c r="J3" s="5" t="s">
        <v>182</v>
      </c>
      <c r="K3" s="5" t="s">
        <v>111</v>
      </c>
    </row>
    <row r="4" spans="2:11">
      <c r="B4" s="5" t="s">
        <v>9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7" t="s">
        <v>56</v>
      </c>
      <c r="I4" s="23" t="s">
        <v>57</v>
      </c>
      <c r="J4" s="5" t="s">
        <v>58</v>
      </c>
      <c r="K4" s="24" t="s">
        <v>183</v>
      </c>
    </row>
    <row r="5" spans="2:11">
      <c r="C5" s="5">
        <f>0.4/0.6</f>
        <v>0.66666666666666674</v>
      </c>
      <c r="D5" s="5">
        <f>0.58/0.6</f>
        <v>0.96666666666666667</v>
      </c>
      <c r="E5" s="5">
        <f>1+(0.32/0.6)</f>
        <v>1.5333333333333332</v>
      </c>
      <c r="F5" s="5">
        <f>1+(0.5/0.6)</f>
        <v>1.8333333333333335</v>
      </c>
      <c r="G5" s="5">
        <f>1+(0.17/0.6)</f>
        <v>1.2833333333333334</v>
      </c>
      <c r="H5" s="5"/>
      <c r="I5" s="5">
        <f>0.4/0.6</f>
        <v>0.66666666666666674</v>
      </c>
      <c r="J5" s="5">
        <f>0.23/0.6</f>
        <v>0.38333333333333336</v>
      </c>
      <c r="K5" s="5">
        <v>1.1100000000000001</v>
      </c>
    </row>
    <row r="6" spans="2:11">
      <c r="C6" s="5">
        <f>0.37/0.6</f>
        <v>0.6166666666666667</v>
      </c>
      <c r="D6" s="5">
        <f>0.54/0.6</f>
        <v>0.90000000000000013</v>
      </c>
      <c r="E6" s="5">
        <f>1+(0.39/0.6)</f>
        <v>1.65</v>
      </c>
      <c r="F6" s="5">
        <f>1+(0.33/0.6)</f>
        <v>1.55</v>
      </c>
      <c r="G6" s="5">
        <f>1+(0.26/0.6)</f>
        <v>1.4333333333333333</v>
      </c>
      <c r="H6" s="5"/>
      <c r="I6" s="5">
        <f>0.49/0.6</f>
        <v>0.81666666666666665</v>
      </c>
      <c r="J6" s="5">
        <f>0.2/0.6</f>
        <v>0.33333333333333337</v>
      </c>
      <c r="K6" s="5">
        <v>1.57</v>
      </c>
    </row>
    <row r="7" spans="2:11">
      <c r="C7" s="5">
        <f>0.42/0.6</f>
        <v>0.7</v>
      </c>
      <c r="D7" s="5">
        <f>0.54/0.6</f>
        <v>0.90000000000000013</v>
      </c>
      <c r="E7" s="5">
        <f>1+(0.43/0.6)</f>
        <v>1.7166666666666668</v>
      </c>
      <c r="F7" s="5">
        <f>1+(0.42/0.6)</f>
        <v>1.7</v>
      </c>
      <c r="G7" s="5">
        <f>1+(0.29/0.6)</f>
        <v>1.4833333333333334</v>
      </c>
      <c r="H7" s="5"/>
      <c r="I7" s="5">
        <f>0.53/0.6</f>
        <v>0.88333333333333341</v>
      </c>
      <c r="J7" s="5">
        <f>0.2/0.6</f>
        <v>0.33333333333333337</v>
      </c>
      <c r="K7" s="5">
        <v>1.1000000000000001</v>
      </c>
    </row>
    <row r="8" spans="2:11">
      <c r="C8" s="5">
        <f>0.39/0.6</f>
        <v>0.65</v>
      </c>
      <c r="D8" s="5">
        <f>0.59/0.6</f>
        <v>0.98333333333333328</v>
      </c>
      <c r="E8" s="5">
        <f>1+(0.37/0.6)</f>
        <v>1.6166666666666667</v>
      </c>
      <c r="F8" s="5">
        <f>1+(0.31/0.6)</f>
        <v>1.5166666666666666</v>
      </c>
      <c r="G8" s="5">
        <f>1+(0.35/0.6)</f>
        <v>1.5833333333333335</v>
      </c>
      <c r="H8" s="5"/>
      <c r="I8" s="5">
        <v>1.08</v>
      </c>
      <c r="J8" s="5">
        <f>0.21/0.6</f>
        <v>0.35</v>
      </c>
      <c r="K8" s="5">
        <v>1.1200000000000001</v>
      </c>
    </row>
    <row r="9" spans="2:11">
      <c r="C9" s="5">
        <f>0.43/0.6</f>
        <v>0.71666666666666667</v>
      </c>
      <c r="D9" s="5">
        <f>0.5/0.6</f>
        <v>0.83333333333333337</v>
      </c>
      <c r="E9" s="5">
        <f>1+(0.4/0.6)</f>
        <v>1.6666666666666667</v>
      </c>
      <c r="F9" s="5">
        <f>1+(0.28/0.6)</f>
        <v>1.4666666666666668</v>
      </c>
      <c r="G9" s="5">
        <f>2+(0.07/0.6)</f>
        <v>2.1166666666666667</v>
      </c>
      <c r="H9" s="5"/>
      <c r="I9" s="5">
        <f>0.56/0.6</f>
        <v>0.93333333333333346</v>
      </c>
      <c r="J9" s="5">
        <f>0.17/0.6</f>
        <v>0.28333333333333338</v>
      </c>
      <c r="K9" s="5">
        <v>1.29</v>
      </c>
    </row>
    <row r="10" spans="2:11">
      <c r="B10" s="12" t="s">
        <v>20</v>
      </c>
      <c r="C10" s="13">
        <f>+SUM(C5:C9)</f>
        <v>3.35</v>
      </c>
      <c r="D10" s="13">
        <f>+SUM(D5:D9)</f>
        <v>4.583333333333333</v>
      </c>
      <c r="E10" s="13">
        <f t="shared" ref="E10:H10" si="0">+SUM(E5:E9)</f>
        <v>8.1833333333333336</v>
      </c>
      <c r="F10" s="13">
        <f t="shared" si="0"/>
        <v>8.0666666666666664</v>
      </c>
      <c r="G10" s="13">
        <f t="shared" si="0"/>
        <v>7.9</v>
      </c>
      <c r="H10" s="13">
        <f t="shared" si="0"/>
        <v>0</v>
      </c>
      <c r="I10" s="13">
        <f>+SUM(I5:I9)</f>
        <v>4.38</v>
      </c>
      <c r="J10" s="13">
        <f t="shared" ref="J10:K10" si="1">+SUM(J5:J9)</f>
        <v>1.6833333333333338</v>
      </c>
      <c r="K10" s="13">
        <f t="shared" si="1"/>
        <v>6.19</v>
      </c>
    </row>
    <row r="11" spans="2:11">
      <c r="B11" s="5" t="s">
        <v>80</v>
      </c>
      <c r="C11" s="5">
        <f>+C10/5</f>
        <v>0.67</v>
      </c>
      <c r="D11" s="5">
        <f>+D10/5</f>
        <v>0.91666666666666663</v>
      </c>
      <c r="E11" s="5">
        <f t="shared" ref="E11:K11" si="2">+E10/5</f>
        <v>1.6366666666666667</v>
      </c>
      <c r="F11" s="5">
        <f t="shared" si="2"/>
        <v>1.6133333333333333</v>
      </c>
      <c r="G11" s="5">
        <f t="shared" si="2"/>
        <v>1.58</v>
      </c>
      <c r="H11" s="5">
        <f t="shared" si="2"/>
        <v>0</v>
      </c>
      <c r="I11" s="5">
        <f t="shared" si="2"/>
        <v>0.876</v>
      </c>
      <c r="J11" s="5">
        <f t="shared" si="2"/>
        <v>0.33666666666666678</v>
      </c>
      <c r="K11" s="5">
        <f t="shared" si="2"/>
        <v>1.238</v>
      </c>
    </row>
    <row r="12" spans="2:11">
      <c r="B12" s="12" t="s">
        <v>82</v>
      </c>
      <c r="C12" s="13">
        <v>0.51</v>
      </c>
      <c r="D12" s="13">
        <v>1.08</v>
      </c>
      <c r="E12" s="13">
        <v>0.45</v>
      </c>
      <c r="F12" s="13">
        <v>0.1</v>
      </c>
      <c r="G12" s="13">
        <f>3+(0.7846*0.6)</f>
        <v>3.4707599999999998</v>
      </c>
      <c r="H12" s="13">
        <f>3+(0.7846*0.6)</f>
        <v>3.4707599999999998</v>
      </c>
      <c r="I12" s="13"/>
      <c r="J12" s="13"/>
      <c r="K12" s="13"/>
    </row>
    <row r="13" spans="2:11">
      <c r="B13" s="5" t="s">
        <v>85</v>
      </c>
      <c r="C13" s="5">
        <f>+C11*0.15</f>
        <v>0.10050000000000001</v>
      </c>
      <c r="D13" s="5">
        <f t="shared" ref="D13:K13" si="3">+D11*0.15</f>
        <v>0.13749999999999998</v>
      </c>
      <c r="E13" s="5">
        <f t="shared" si="3"/>
        <v>0.2455</v>
      </c>
      <c r="F13" s="5">
        <f t="shared" si="3"/>
        <v>0.24199999999999999</v>
      </c>
      <c r="G13" s="5">
        <f t="shared" si="3"/>
        <v>0.23699999999999999</v>
      </c>
      <c r="H13" s="5">
        <f t="shared" si="3"/>
        <v>0</v>
      </c>
      <c r="I13" s="5">
        <f t="shared" si="3"/>
        <v>0.13139999999999999</v>
      </c>
      <c r="J13" s="5">
        <f t="shared" si="3"/>
        <v>5.0500000000000017E-2</v>
      </c>
      <c r="K13" s="5">
        <f t="shared" si="3"/>
        <v>0.1857</v>
      </c>
    </row>
    <row r="14" spans="2:11">
      <c r="B14" s="12" t="s">
        <v>86</v>
      </c>
      <c r="C14" s="13">
        <f>540/(C11+C13)</f>
        <v>700.84360804672281</v>
      </c>
      <c r="D14" s="13">
        <f t="shared" ref="D14:I14" si="4">540/(D11+D13)</f>
        <v>512.2529644268775</v>
      </c>
      <c r="E14" s="13">
        <f t="shared" si="4"/>
        <v>286.90339148144869</v>
      </c>
      <c r="F14" s="13">
        <f t="shared" si="4"/>
        <v>291.05282069708949</v>
      </c>
      <c r="G14" s="13">
        <f t="shared" si="4"/>
        <v>297.19317556411664</v>
      </c>
      <c r="H14" s="13" t="e">
        <f t="shared" si="4"/>
        <v>#DIV/0!</v>
      </c>
      <c r="I14" s="13">
        <f t="shared" si="4"/>
        <v>536.03335318642041</v>
      </c>
      <c r="J14" s="13">
        <f>540/(J11+J13)</f>
        <v>1394.7481704692204</v>
      </c>
      <c r="K14" s="13">
        <f>540/(K11+K13)</f>
        <v>379.29339046147362</v>
      </c>
    </row>
    <row r="15" spans="2:11">
      <c r="B15" s="5" t="s">
        <v>171</v>
      </c>
      <c r="C15" s="35">
        <f>+C14/500</f>
        <v>1.4016872160934457</v>
      </c>
      <c r="D15" s="35">
        <f t="shared" ref="D15:K15" si="5">+D14/500</f>
        <v>1.024505928853755</v>
      </c>
      <c r="E15" s="35">
        <f t="shared" si="5"/>
        <v>0.57380678296289733</v>
      </c>
      <c r="F15" s="35">
        <f t="shared" si="5"/>
        <v>0.58210564139417897</v>
      </c>
      <c r="G15" s="35">
        <f t="shared" si="5"/>
        <v>0.59438635112823324</v>
      </c>
      <c r="H15" s="35" t="e">
        <f>+H14/500</f>
        <v>#DIV/0!</v>
      </c>
      <c r="I15" s="35">
        <f t="shared" si="5"/>
        <v>1.0720667063728408</v>
      </c>
      <c r="J15" s="35">
        <f t="shared" si="5"/>
        <v>2.7894963409384408</v>
      </c>
      <c r="K15" s="35">
        <f t="shared" si="5"/>
        <v>0.75858678092294729</v>
      </c>
    </row>
    <row r="18" spans="2:11">
      <c r="C18" s="29" t="s">
        <v>51</v>
      </c>
    </row>
    <row r="19" spans="2:11">
      <c r="B19" s="5" t="s">
        <v>2</v>
      </c>
      <c r="C19" s="23" t="s">
        <v>0</v>
      </c>
      <c r="D19" s="5" t="s">
        <v>105</v>
      </c>
      <c r="E19" s="5" t="s">
        <v>106</v>
      </c>
      <c r="F19" s="5" t="s">
        <v>107</v>
      </c>
      <c r="G19" s="5" t="s">
        <v>108</v>
      </c>
      <c r="H19" s="5" t="s">
        <v>109</v>
      </c>
      <c r="I19" s="5" t="s">
        <v>110</v>
      </c>
      <c r="J19" s="5" t="s">
        <v>111</v>
      </c>
    </row>
    <row r="20" spans="2:11">
      <c r="B20" s="5" t="s">
        <v>9</v>
      </c>
      <c r="C20" s="5" t="s">
        <v>184</v>
      </c>
      <c r="D20" s="5" t="s">
        <v>185</v>
      </c>
      <c r="E20" s="5" t="s">
        <v>186</v>
      </c>
      <c r="F20" s="5" t="s">
        <v>187</v>
      </c>
      <c r="G20" s="5" t="s">
        <v>188</v>
      </c>
      <c r="H20" s="7" t="s">
        <v>188</v>
      </c>
      <c r="I20" s="23" t="s">
        <v>57</v>
      </c>
      <c r="J20" s="24" t="s">
        <v>189</v>
      </c>
    </row>
    <row r="21" spans="2:11">
      <c r="C21" s="5">
        <v>0.56999999999999995</v>
      </c>
      <c r="D21" s="5">
        <f>0.58/0.6</f>
        <v>0.96666666666666667</v>
      </c>
      <c r="E21" s="5">
        <f>1+(0.32/0.6)</f>
        <v>1.5333333333333332</v>
      </c>
      <c r="F21" s="5">
        <f>1+(0.5/0.6)</f>
        <v>1.8333333333333335</v>
      </c>
      <c r="G21" s="5">
        <f>1+(0.17/0.6)</f>
        <v>1.2833333333333334</v>
      </c>
      <c r="H21" s="5">
        <v>3.08</v>
      </c>
      <c r="I21" s="5">
        <f>0.4/0.6</f>
        <v>0.66666666666666674</v>
      </c>
      <c r="J21" s="5">
        <v>1.1100000000000001</v>
      </c>
    </row>
    <row r="22" spans="2:11">
      <c r="C22" s="5">
        <v>0.43</v>
      </c>
      <c r="D22" s="5">
        <f>0.54/0.6</f>
        <v>0.90000000000000013</v>
      </c>
      <c r="E22" s="5">
        <f>1+(0.39/0.6)</f>
        <v>1.65</v>
      </c>
      <c r="F22" s="5">
        <f>1+(0.33/0.6)</f>
        <v>1.55</v>
      </c>
      <c r="G22" s="5">
        <f>1+(0.26/0.6)</f>
        <v>1.4333333333333333</v>
      </c>
      <c r="H22" s="5">
        <v>3.24</v>
      </c>
      <c r="I22" s="5">
        <f>0.49/0.6</f>
        <v>0.81666666666666665</v>
      </c>
      <c r="J22" s="5">
        <v>1.57</v>
      </c>
    </row>
    <row r="23" spans="2:11">
      <c r="C23" s="5">
        <v>0.49</v>
      </c>
      <c r="D23" s="5">
        <f>0.54/0.6</f>
        <v>0.90000000000000013</v>
      </c>
      <c r="E23" s="5">
        <f>1+(0.43/0.6)</f>
        <v>1.7166666666666668</v>
      </c>
      <c r="F23" s="5">
        <f>1+(0.42/0.6)</f>
        <v>1.7</v>
      </c>
      <c r="G23" s="5">
        <f>1+(0.29/0.6)</f>
        <v>1.4833333333333334</v>
      </c>
      <c r="H23" s="5">
        <v>4.22</v>
      </c>
      <c r="I23" s="5">
        <f>0.53/0.6</f>
        <v>0.88333333333333341</v>
      </c>
      <c r="J23" s="5">
        <v>1.1000000000000001</v>
      </c>
    </row>
    <row r="24" spans="2:11">
      <c r="C24" s="5">
        <v>0.4</v>
      </c>
      <c r="D24" s="5">
        <f>0.59/0.6</f>
        <v>0.98333333333333328</v>
      </c>
      <c r="E24" s="5">
        <f>1+(0.37/0.6)</f>
        <v>1.6166666666666667</v>
      </c>
      <c r="F24" s="5">
        <f>1+(0.31/0.6)</f>
        <v>1.5166666666666666</v>
      </c>
      <c r="G24" s="5">
        <f>1+(0.35/0.6)</f>
        <v>1.5833333333333335</v>
      </c>
      <c r="H24" s="5">
        <v>4.2</v>
      </c>
      <c r="I24" s="5">
        <v>1.08</v>
      </c>
      <c r="J24" s="5">
        <v>1.1200000000000001</v>
      </c>
      <c r="K24" t="s">
        <v>8</v>
      </c>
    </row>
    <row r="25" spans="2:11">
      <c r="C25" s="5">
        <v>0.41</v>
      </c>
      <c r="D25" s="5">
        <f>0.5/0.6</f>
        <v>0.83333333333333337</v>
      </c>
      <c r="E25" s="5">
        <f>1+(0.4/0.6)</f>
        <v>1.6666666666666667</v>
      </c>
      <c r="F25" s="5">
        <f>1+(0.28/0.6)</f>
        <v>1.4666666666666668</v>
      </c>
      <c r="G25" s="5">
        <f>2+(0.07/0.6)</f>
        <v>2.1166666666666667</v>
      </c>
      <c r="H25" s="5">
        <v>5.53</v>
      </c>
      <c r="I25" s="5">
        <f>0.56/0.6</f>
        <v>0.93333333333333346</v>
      </c>
      <c r="J25" s="5">
        <v>1.29</v>
      </c>
    </row>
    <row r="26" spans="2:11">
      <c r="B26" s="12" t="s">
        <v>20</v>
      </c>
      <c r="C26" s="13">
        <f>+SUM(C21:C25)</f>
        <v>2.3000000000000003</v>
      </c>
      <c r="D26" s="13">
        <f>+SUM(D21:D25)</f>
        <v>4.583333333333333</v>
      </c>
      <c r="E26" s="13">
        <f t="shared" ref="E26" si="6">+SUM(E21:E25)</f>
        <v>8.1833333333333336</v>
      </c>
      <c r="F26" s="13">
        <f t="shared" ref="F26" si="7">+SUM(F21:F25)</f>
        <v>8.0666666666666664</v>
      </c>
      <c r="G26" s="13">
        <f t="shared" ref="G26" si="8">+SUM(G21:G25)</f>
        <v>7.9</v>
      </c>
      <c r="H26" s="13">
        <f t="shared" ref="H26" si="9">+SUM(H21:H25)</f>
        <v>20.27</v>
      </c>
      <c r="I26" s="13">
        <f>+SUM(I21:I25)</f>
        <v>4.38</v>
      </c>
      <c r="J26" s="13">
        <f t="shared" ref="J26" si="10">+SUM(J21:J25)</f>
        <v>6.19</v>
      </c>
    </row>
    <row r="27" spans="2:11">
      <c r="B27" s="5" t="s">
        <v>80</v>
      </c>
      <c r="C27" s="5">
        <f>+C26/5</f>
        <v>0.46000000000000008</v>
      </c>
      <c r="D27" s="5">
        <f>+D26/5</f>
        <v>0.91666666666666663</v>
      </c>
      <c r="E27" s="5">
        <f t="shared" ref="E27" si="11">+E26/5</f>
        <v>1.6366666666666667</v>
      </c>
      <c r="F27" s="5">
        <f t="shared" ref="F27" si="12">+F26/5</f>
        <v>1.6133333333333333</v>
      </c>
      <c r="G27" s="5">
        <f t="shared" ref="G27" si="13">+G26/5</f>
        <v>1.58</v>
      </c>
      <c r="H27" s="5">
        <f t="shared" ref="H27" si="14">+H26/5</f>
        <v>4.0540000000000003</v>
      </c>
      <c r="I27" s="5">
        <f t="shared" ref="I27:J27" si="15">+I26/5</f>
        <v>0.876</v>
      </c>
      <c r="J27" s="5">
        <f t="shared" si="15"/>
        <v>1.238</v>
      </c>
    </row>
    <row r="28" spans="2:11">
      <c r="B28" s="12" t="s">
        <v>82</v>
      </c>
      <c r="C28" s="13">
        <v>0.51</v>
      </c>
      <c r="D28" s="13">
        <v>1.08</v>
      </c>
      <c r="E28" s="13">
        <v>0.45</v>
      </c>
      <c r="F28" s="13">
        <v>0.1</v>
      </c>
      <c r="G28" s="13">
        <f>3+(0.7846*0.6)</f>
        <v>3.4707599999999998</v>
      </c>
      <c r="H28" s="13">
        <f>3+(0.7846*0.6)</f>
        <v>3.4707599999999998</v>
      </c>
      <c r="I28" s="13"/>
      <c r="J28" s="13"/>
    </row>
    <row r="29" spans="2:11">
      <c r="B29" s="5" t="s">
        <v>85</v>
      </c>
      <c r="C29" s="5">
        <f>+C27*0.15</f>
        <v>6.9000000000000006E-2</v>
      </c>
      <c r="D29" s="5">
        <f t="shared" ref="D29:J29" si="16">+D27*0.15</f>
        <v>0.13749999999999998</v>
      </c>
      <c r="E29" s="5">
        <f t="shared" si="16"/>
        <v>0.2455</v>
      </c>
      <c r="F29" s="5">
        <f t="shared" si="16"/>
        <v>0.24199999999999999</v>
      </c>
      <c r="G29" s="5">
        <f t="shared" si="16"/>
        <v>0.23699999999999999</v>
      </c>
      <c r="H29" s="5">
        <f t="shared" si="16"/>
        <v>0.60809999999999997</v>
      </c>
      <c r="I29" s="5">
        <f t="shared" si="16"/>
        <v>0.13139999999999999</v>
      </c>
      <c r="J29" s="5">
        <f t="shared" si="16"/>
        <v>0.1857</v>
      </c>
    </row>
    <row r="30" spans="2:11">
      <c r="B30" s="12" t="s">
        <v>86</v>
      </c>
      <c r="C30" s="13">
        <f>540/(C27+C29)</f>
        <v>1020.7939508506614</v>
      </c>
      <c r="D30" s="13">
        <f t="shared" ref="D30" si="17">540/(D27+D29)</f>
        <v>512.2529644268775</v>
      </c>
      <c r="E30" s="13">
        <f t="shared" ref="E30" si="18">540/(E27+E29)</f>
        <v>286.90339148144869</v>
      </c>
      <c r="F30" s="13">
        <f t="shared" ref="F30" si="19">540/(F27+F29)</f>
        <v>291.05282069708949</v>
      </c>
      <c r="G30" s="13">
        <f t="shared" ref="G30" si="20">540/(G27+G29)</f>
        <v>297.19317556411664</v>
      </c>
      <c r="H30" s="13">
        <f t="shared" ref="H30" si="21">540/(H27+H29)</f>
        <v>115.82763132493939</v>
      </c>
      <c r="I30" s="13">
        <f t="shared" ref="I30" si="22">540/(I27+I29)</f>
        <v>536.03335318642041</v>
      </c>
      <c r="J30" s="13">
        <f>540/(J27+J29)</f>
        <v>379.29339046147362</v>
      </c>
    </row>
    <row r="31" spans="2:11">
      <c r="B31" s="5" t="s">
        <v>171</v>
      </c>
      <c r="C31" s="33">
        <f>+C30/500</f>
        <v>2.0415879017013228</v>
      </c>
      <c r="D31" s="33">
        <f t="shared" ref="D31" si="23">+D30/500</f>
        <v>1.024505928853755</v>
      </c>
      <c r="E31" s="33">
        <f t="shared" ref="E31" si="24">+E30/500</f>
        <v>0.57380678296289733</v>
      </c>
      <c r="F31" s="33">
        <f t="shared" ref="F31" si="25">+F30/500</f>
        <v>0.58210564139417897</v>
      </c>
      <c r="G31" s="33">
        <f t="shared" ref="G31" si="26">+G30/500</f>
        <v>0.59438635112823324</v>
      </c>
      <c r="H31" s="33">
        <f t="shared" ref="H31" si="27">+H30/500</f>
        <v>0.23165526264987879</v>
      </c>
      <c r="I31" s="33">
        <f t="shared" ref="I31:J31" si="28">+I30/500</f>
        <v>1.0720667063728408</v>
      </c>
      <c r="J31" s="33">
        <f t="shared" si="28"/>
        <v>0.75858678092294729</v>
      </c>
    </row>
    <row r="32" spans="2:11">
      <c r="B32" s="40" t="s">
        <v>67</v>
      </c>
      <c r="C32" t="str">
        <f>+IF(C27&lt;$C$36,$B$41, $B$42)</f>
        <v>BUEN TIEMPO</v>
      </c>
      <c r="D32" t="str">
        <f t="shared" ref="D32:J32" si="29">+IF(D27&lt;$C$36,$B$41, $B$42)</f>
        <v>BUEN TIEMPO</v>
      </c>
      <c r="E32" t="str">
        <f t="shared" si="29"/>
        <v>MAL TIEMPO</v>
      </c>
      <c r="F32" t="str">
        <f t="shared" si="29"/>
        <v>MAL TIEMPO</v>
      </c>
      <c r="G32" t="str">
        <f t="shared" si="29"/>
        <v>MAL TIEMPO</v>
      </c>
      <c r="H32" t="str">
        <f t="shared" si="29"/>
        <v>MAL TIEMPO</v>
      </c>
      <c r="I32" t="str">
        <f t="shared" si="29"/>
        <v>BUEN TIEMPO</v>
      </c>
      <c r="J32" t="str">
        <f t="shared" si="29"/>
        <v>MAL TIEMPO</v>
      </c>
      <c r="K32" t="str">
        <f>+IF(K27&lt;$C$38,$B$43, $B$44)</f>
        <v xml:space="preserve">TackTime </v>
      </c>
    </row>
    <row r="36" spans="2:8">
      <c r="B36" s="5" t="s">
        <v>67</v>
      </c>
      <c r="C36" s="5">
        <f>+C37/C38</f>
        <v>1.08</v>
      </c>
      <c r="D36" t="s">
        <v>68</v>
      </c>
      <c r="E36" s="5">
        <f>+E37/E38</f>
        <v>1.08</v>
      </c>
      <c r="F36" t="s">
        <v>69</v>
      </c>
      <c r="G36" s="5">
        <f>+G37/G38</f>
        <v>1.08</v>
      </c>
      <c r="H36" t="s">
        <v>69</v>
      </c>
    </row>
    <row r="37" spans="2:8">
      <c r="B37" s="5" t="s">
        <v>70</v>
      </c>
      <c r="C37" s="5">
        <v>10800</v>
      </c>
      <c r="D37" t="s">
        <v>71</v>
      </c>
      <c r="E37" s="5">
        <v>2700</v>
      </c>
      <c r="F37" t="s">
        <v>72</v>
      </c>
      <c r="G37" s="5">
        <v>540</v>
      </c>
      <c r="H37" t="s">
        <v>73</v>
      </c>
    </row>
    <row r="38" spans="2:8">
      <c r="B38" s="5" t="s">
        <v>74</v>
      </c>
      <c r="C38" s="5">
        <v>10000</v>
      </c>
      <c r="D38" t="s">
        <v>75</v>
      </c>
      <c r="E38" s="5">
        <f>+C38/4</f>
        <v>2500</v>
      </c>
      <c r="F38" t="s">
        <v>76</v>
      </c>
      <c r="G38" s="5">
        <f>+E38/5</f>
        <v>500</v>
      </c>
      <c r="H38" t="s">
        <v>77</v>
      </c>
    </row>
    <row r="41" spans="2:8">
      <c r="B41" s="42" t="s">
        <v>130</v>
      </c>
      <c r="C41" t="s">
        <v>131</v>
      </c>
    </row>
    <row r="42" spans="2:8">
      <c r="B42" s="41" t="s">
        <v>132</v>
      </c>
      <c r="C42" t="s">
        <v>133</v>
      </c>
    </row>
    <row r="43" spans="2:8">
      <c r="B43" s="5" t="s">
        <v>134</v>
      </c>
      <c r="C43" t="s">
        <v>135</v>
      </c>
    </row>
  </sheetData>
  <conditionalFormatting sqref="C32:K32">
    <cfRule type="containsText" dxfId="3" priority="1" operator="containsText" text="MAL TIEMPO">
      <formula>NOT(ISERROR(SEARCH("MAL TIEMPO",C32)))</formula>
    </cfRule>
    <cfRule type="containsText" dxfId="2" priority="2" operator="containsText" text="BUEN TIEMPO">
      <formula>NOT(ISERROR(SEARCH("BUEN TIEMPO",C32)))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E0EB-E7F6-4A5A-A8D2-F820AA43B69D}">
  <dimension ref="B3:L43"/>
  <sheetViews>
    <sheetView topLeftCell="A10" zoomScale="85" zoomScaleNormal="85" workbookViewId="0">
      <selection activeCell="J25" sqref="J25"/>
    </sheetView>
  </sheetViews>
  <sheetFormatPr defaultColWidth="11.42578125" defaultRowHeight="15"/>
  <cols>
    <col min="2" max="2" width="33.28515625" customWidth="1"/>
    <col min="3" max="3" width="14.85546875" customWidth="1"/>
    <col min="4" max="4" width="13" customWidth="1"/>
    <col min="5" max="5" width="12.5703125" customWidth="1"/>
    <col min="6" max="6" width="13.7109375" customWidth="1"/>
    <col min="7" max="7" width="13.140625" customWidth="1"/>
    <col min="8" max="8" width="14.140625" customWidth="1"/>
    <col min="9" max="9" width="28.42578125" customWidth="1"/>
    <col min="10" max="10" width="26.140625" customWidth="1"/>
  </cols>
  <sheetData>
    <row r="3" spans="2:12">
      <c r="C3" s="29" t="s">
        <v>60</v>
      </c>
    </row>
    <row r="4" spans="2:12">
      <c r="B4" s="5" t="s">
        <v>2</v>
      </c>
      <c r="C4" s="5" t="s">
        <v>110</v>
      </c>
      <c r="D4" s="5" t="s">
        <v>112</v>
      </c>
      <c r="E4" s="5" t="s">
        <v>113</v>
      </c>
      <c r="F4" s="5" t="s">
        <v>114</v>
      </c>
      <c r="G4" s="5" t="s">
        <v>190</v>
      </c>
      <c r="H4" s="5" t="s">
        <v>115</v>
      </c>
      <c r="I4" s="5" t="s">
        <v>191</v>
      </c>
      <c r="J4" s="5" t="s">
        <v>191</v>
      </c>
      <c r="K4" s="5" t="s">
        <v>191</v>
      </c>
      <c r="L4" s="5" t="s">
        <v>191</v>
      </c>
    </row>
    <row r="5" spans="2:12">
      <c r="B5" s="5" t="s">
        <v>9</v>
      </c>
      <c r="C5" s="5" t="s">
        <v>61</v>
      </c>
      <c r="D5" s="5" t="s">
        <v>62</v>
      </c>
      <c r="E5" s="5" t="s">
        <v>62</v>
      </c>
      <c r="F5" s="5" t="s">
        <v>62</v>
      </c>
      <c r="G5" s="5" t="s">
        <v>63</v>
      </c>
      <c r="H5" s="5" t="s">
        <v>192</v>
      </c>
      <c r="I5" s="5" t="s">
        <v>65</v>
      </c>
      <c r="J5" s="5" t="s">
        <v>193</v>
      </c>
      <c r="K5" s="5" t="s">
        <v>194</v>
      </c>
      <c r="L5" s="5" t="s">
        <v>195</v>
      </c>
    </row>
    <row r="6" spans="2:12">
      <c r="C6" s="5">
        <f>1+(0.18/0.6)</f>
        <v>1.3</v>
      </c>
      <c r="D6" s="5">
        <v>3.38</v>
      </c>
      <c r="E6" s="5">
        <v>2.42</v>
      </c>
      <c r="F6" s="5">
        <v>3.18</v>
      </c>
      <c r="G6" s="5">
        <f>0.54/0.6</f>
        <v>0.90000000000000013</v>
      </c>
      <c r="H6" s="5">
        <f>2+(0.17/0.6)</f>
        <v>2.2833333333333332</v>
      </c>
      <c r="I6" s="5">
        <f>0.2/0.6</f>
        <v>0.33333333333333337</v>
      </c>
      <c r="J6" s="25">
        <f>0.08/0.6</f>
        <v>0.13333333333333333</v>
      </c>
      <c r="K6" s="5"/>
      <c r="L6" s="5"/>
    </row>
    <row r="7" spans="2:12">
      <c r="C7" s="5">
        <f>1+(0.2/0.6)</f>
        <v>1.3333333333333335</v>
      </c>
      <c r="D7" s="5">
        <v>3.44</v>
      </c>
      <c r="E7" s="5">
        <v>2.8</v>
      </c>
      <c r="F7" s="5">
        <v>2.12</v>
      </c>
      <c r="G7" s="5">
        <f>1+(0.03/0.6)</f>
        <v>1.05</v>
      </c>
      <c r="H7" s="5">
        <f>1+(0.32/0.6)</f>
        <v>1.5333333333333332</v>
      </c>
      <c r="I7" s="5">
        <f>0.22/0.6</f>
        <v>0.3666666666666667</v>
      </c>
      <c r="J7" s="5">
        <f>0.09/0.6</f>
        <v>0.15</v>
      </c>
      <c r="K7" s="5"/>
      <c r="L7" s="5"/>
    </row>
    <row r="8" spans="2:12">
      <c r="C8" s="5">
        <f>1+(0.16/0.6)</f>
        <v>1.2666666666666666</v>
      </c>
      <c r="D8" s="5">
        <v>4.0199999999999996</v>
      </c>
      <c r="E8" s="5">
        <v>3.07</v>
      </c>
      <c r="F8" s="5">
        <v>2.2200000000000002</v>
      </c>
      <c r="G8" s="5">
        <f>1+(0.11/0.6)</f>
        <v>1.1833333333333333</v>
      </c>
      <c r="H8" s="5">
        <f>1+(0.34/0.6)</f>
        <v>1.5666666666666669</v>
      </c>
      <c r="I8" s="5">
        <f>0.23/0.6</f>
        <v>0.38333333333333336</v>
      </c>
      <c r="J8" s="5">
        <f>0.09/0.6</f>
        <v>0.15</v>
      </c>
      <c r="K8" s="5"/>
      <c r="L8" s="5"/>
    </row>
    <row r="9" spans="2:12">
      <c r="C9" s="5">
        <f>1+(0.15/0.6)</f>
        <v>1.25</v>
      </c>
      <c r="D9" s="5">
        <v>4.05</v>
      </c>
      <c r="E9" s="5">
        <v>3.08</v>
      </c>
      <c r="F9" s="5">
        <v>3.18</v>
      </c>
      <c r="G9" s="5">
        <f>1+(0.07/0.6)</f>
        <v>1.1166666666666667</v>
      </c>
      <c r="H9" s="5">
        <f>3+(0.03/0.6)</f>
        <v>3.05</v>
      </c>
      <c r="I9" s="5">
        <f>0.23/0.6</f>
        <v>0.38333333333333336</v>
      </c>
      <c r="J9" s="5">
        <f>0.09/0.6</f>
        <v>0.15</v>
      </c>
      <c r="K9" s="5"/>
      <c r="L9" s="5"/>
    </row>
    <row r="10" spans="2:12">
      <c r="C10" s="5">
        <f>1+(0.35/0.6)</f>
        <v>1.5833333333333335</v>
      </c>
      <c r="D10" s="5">
        <v>4.2699999999999996</v>
      </c>
      <c r="E10" s="5">
        <v>2.37</v>
      </c>
      <c r="F10" s="5">
        <v>2.44</v>
      </c>
      <c r="G10" s="5">
        <f>1+(0.06/0.6)</f>
        <v>1.1000000000000001</v>
      </c>
      <c r="H10" s="5">
        <f>3+(0.04/0.6)</f>
        <v>3.0666666666666669</v>
      </c>
      <c r="I10" s="5">
        <f>0.24/0.6</f>
        <v>0.4</v>
      </c>
      <c r="J10" s="5">
        <f>0.1/0.6</f>
        <v>0.16666666666666669</v>
      </c>
      <c r="K10" s="5"/>
      <c r="L10" s="5"/>
    </row>
    <row r="11" spans="2:12">
      <c r="B11" s="12" t="s">
        <v>20</v>
      </c>
      <c r="C11" s="13">
        <f>+SUM(C6:C10)</f>
        <v>6.7333333333333343</v>
      </c>
      <c r="D11" s="13">
        <f>+SUM(D6:D10)</f>
        <v>19.16</v>
      </c>
      <c r="E11" s="13">
        <f t="shared" ref="E11:I11" si="0">+SUM(E6:E10)</f>
        <v>13.739999999999998</v>
      </c>
      <c r="F11" s="13">
        <f t="shared" si="0"/>
        <v>13.14</v>
      </c>
      <c r="G11" s="13">
        <f t="shared" si="0"/>
        <v>5.35</v>
      </c>
      <c r="H11" s="13">
        <f t="shared" si="0"/>
        <v>11.5</v>
      </c>
      <c r="I11" s="13">
        <f t="shared" si="0"/>
        <v>1.8666666666666667</v>
      </c>
      <c r="J11" s="13">
        <f>+SUM(J6:J10)</f>
        <v>0.75</v>
      </c>
      <c r="K11" s="13">
        <f t="shared" ref="K11:L11" si="1">+SUM(K6:K10)</f>
        <v>0</v>
      </c>
      <c r="L11" s="13">
        <f t="shared" si="1"/>
        <v>0</v>
      </c>
    </row>
    <row r="12" spans="2:12">
      <c r="B12" s="5" t="s">
        <v>80</v>
      </c>
      <c r="C12" s="5">
        <f>+C11/5</f>
        <v>1.3466666666666669</v>
      </c>
      <c r="D12" s="5">
        <f>+D11/5</f>
        <v>3.8319999999999999</v>
      </c>
      <c r="E12" s="5">
        <f t="shared" ref="E12:J12" si="2">+E11/5</f>
        <v>2.7479999999999998</v>
      </c>
      <c r="F12" s="5">
        <f t="shared" si="2"/>
        <v>2.6280000000000001</v>
      </c>
      <c r="G12" s="5">
        <f t="shared" si="2"/>
        <v>1.0699999999999998</v>
      </c>
      <c r="H12" s="5">
        <f t="shared" si="2"/>
        <v>2.2999999999999998</v>
      </c>
      <c r="I12" s="5">
        <f t="shared" si="2"/>
        <v>0.37333333333333335</v>
      </c>
      <c r="J12" s="5">
        <f t="shared" si="2"/>
        <v>0.15</v>
      </c>
      <c r="K12" s="5">
        <f t="shared" ref="K12" si="3">+K11/5</f>
        <v>0</v>
      </c>
      <c r="L12" s="5">
        <f t="shared" ref="L12" si="4">+L11/5</f>
        <v>0</v>
      </c>
    </row>
    <row r="13" spans="2:12">
      <c r="B13" s="12" t="s">
        <v>82</v>
      </c>
      <c r="C13" s="13">
        <f>1+(0.3466*0.6)</f>
        <v>1.2079599999999999</v>
      </c>
      <c r="D13" s="13">
        <f>3+(0.832*0.6)</f>
        <v>3.4992000000000001</v>
      </c>
      <c r="E13" s="13">
        <f t="shared" ref="E13:F13" si="5">3+(0.832*0.6)</f>
        <v>3.4992000000000001</v>
      </c>
      <c r="F13" s="13">
        <f t="shared" si="5"/>
        <v>3.4992000000000001</v>
      </c>
      <c r="G13" s="13">
        <f>1+(0.07*0.6)</f>
        <v>1.042</v>
      </c>
      <c r="H13" s="13">
        <f>2+(0.3*0.6)</f>
        <v>2.1800000000000002</v>
      </c>
      <c r="I13" s="13">
        <f>+I12*0.6</f>
        <v>0.224</v>
      </c>
      <c r="J13" s="13">
        <f>+J12*0.6</f>
        <v>0.09</v>
      </c>
      <c r="K13" s="13">
        <f t="shared" ref="K13:L13" si="6">+K12*0.6</f>
        <v>0</v>
      </c>
      <c r="L13" s="13">
        <f t="shared" si="6"/>
        <v>0</v>
      </c>
    </row>
    <row r="14" spans="2:12">
      <c r="B14" s="5" t="s">
        <v>85</v>
      </c>
      <c r="C14" s="5">
        <f>+C12*(C12*0.15)</f>
        <v>0.27202666666666675</v>
      </c>
      <c r="D14" s="5">
        <f t="shared" ref="D14:L14" si="7">+D12*(D12*0.15)</f>
        <v>2.2026336</v>
      </c>
      <c r="E14" s="5">
        <f t="shared" si="7"/>
        <v>1.1327255999999999</v>
      </c>
      <c r="F14" s="5">
        <f t="shared" si="7"/>
        <v>1.0359575999999999</v>
      </c>
      <c r="G14" s="5">
        <f t="shared" si="7"/>
        <v>0.17173499999999994</v>
      </c>
      <c r="H14" s="5">
        <f t="shared" si="7"/>
        <v>0.79349999999999987</v>
      </c>
      <c r="I14" s="5">
        <f t="shared" si="7"/>
        <v>2.0906666666666667E-2</v>
      </c>
      <c r="J14" s="5">
        <f t="shared" si="7"/>
        <v>3.375E-3</v>
      </c>
      <c r="K14" s="5">
        <f t="shared" si="7"/>
        <v>0</v>
      </c>
      <c r="L14" s="5">
        <f t="shared" si="7"/>
        <v>0</v>
      </c>
    </row>
    <row r="15" spans="2:12">
      <c r="B15" s="12" t="s">
        <v>86</v>
      </c>
      <c r="C15" s="13">
        <f>540/(C12+C14)</f>
        <v>333.60241182188093</v>
      </c>
      <c r="D15" s="13">
        <f t="shared" ref="D15:J15" si="8">540/(D12+D14)</f>
        <v>89.483477505577156</v>
      </c>
      <c r="E15" s="13">
        <f t="shared" si="8"/>
        <v>139.14923539041257</v>
      </c>
      <c r="F15" s="13">
        <f t="shared" si="8"/>
        <v>147.38161817156401</v>
      </c>
      <c r="G15" s="13">
        <f t="shared" si="8"/>
        <v>434.87539611913979</v>
      </c>
      <c r="H15" s="13">
        <f t="shared" si="8"/>
        <v>174.55956036851464</v>
      </c>
      <c r="I15" s="13">
        <f t="shared" si="8"/>
        <v>1369.7240259740258</v>
      </c>
      <c r="J15" s="13">
        <f t="shared" si="8"/>
        <v>3520.7823960880201</v>
      </c>
      <c r="K15" s="13" t="e">
        <f t="shared" ref="K15" si="9">540/(K12+K14)</f>
        <v>#DIV/0!</v>
      </c>
      <c r="L15" s="13" t="e">
        <f t="shared" ref="L15" si="10">540/(L12+L14)</f>
        <v>#DIV/0!</v>
      </c>
    </row>
    <row r="17" spans="2:10">
      <c r="J17" t="s">
        <v>196</v>
      </c>
    </row>
    <row r="18" spans="2:10">
      <c r="C18" s="29" t="s">
        <v>60</v>
      </c>
    </row>
    <row r="19" spans="2:10">
      <c r="B19" s="5" t="s">
        <v>2</v>
      </c>
      <c r="C19" s="5" t="s">
        <v>110</v>
      </c>
      <c r="D19" s="5" t="s">
        <v>112</v>
      </c>
      <c r="E19" s="5" t="s">
        <v>113</v>
      </c>
      <c r="F19" s="5" t="s">
        <v>114</v>
      </c>
      <c r="G19" s="5" t="s">
        <v>190</v>
      </c>
      <c r="H19" s="5" t="s">
        <v>115</v>
      </c>
      <c r="I19" s="5" t="s">
        <v>191</v>
      </c>
    </row>
    <row r="20" spans="2:10" ht="30">
      <c r="B20" s="5" t="s">
        <v>9</v>
      </c>
      <c r="C20" s="5" t="s">
        <v>61</v>
      </c>
      <c r="D20" s="5" t="s">
        <v>62</v>
      </c>
      <c r="E20" s="5" t="s">
        <v>62</v>
      </c>
      <c r="F20" s="5" t="s">
        <v>62</v>
      </c>
      <c r="G20" s="5" t="s">
        <v>63</v>
      </c>
      <c r="H20" s="5" t="s">
        <v>192</v>
      </c>
      <c r="I20" s="49" t="s">
        <v>197</v>
      </c>
    </row>
    <row r="21" spans="2:10">
      <c r="C21" s="5">
        <f>1+(0.18/0.6)</f>
        <v>1.3</v>
      </c>
      <c r="D21" s="5">
        <v>3.38</v>
      </c>
      <c r="E21" s="5">
        <v>2.42</v>
      </c>
      <c r="F21" s="5">
        <v>3.18</v>
      </c>
      <c r="G21" s="5">
        <f>0.54/0.6</f>
        <v>0.90000000000000013</v>
      </c>
      <c r="H21" s="5">
        <f>2+(0.17/0.6)</f>
        <v>2.2833333333333332</v>
      </c>
      <c r="I21" s="5">
        <f>+I6+J6</f>
        <v>0.46666666666666667</v>
      </c>
    </row>
    <row r="22" spans="2:10">
      <c r="C22" s="5">
        <f>1+(0.2/0.6)</f>
        <v>1.3333333333333335</v>
      </c>
      <c r="D22" s="5">
        <v>3.44</v>
      </c>
      <c r="E22" s="5">
        <v>2.38</v>
      </c>
      <c r="F22" s="5">
        <v>2.12</v>
      </c>
      <c r="G22" s="5">
        <f>1+(0.03/0.6)</f>
        <v>1.05</v>
      </c>
      <c r="H22" s="5">
        <f>1+(0.32/0.6)</f>
        <v>1.5333333333333332</v>
      </c>
      <c r="I22" s="5">
        <f t="shared" ref="I22:I25" si="11">+I7+J7</f>
        <v>0.51666666666666672</v>
      </c>
    </row>
    <row r="23" spans="2:10">
      <c r="C23" s="5">
        <f>1+(0.16/0.6)</f>
        <v>1.2666666666666666</v>
      </c>
      <c r="D23" s="5">
        <v>4.0199999999999996</v>
      </c>
      <c r="E23" s="5">
        <v>3.07</v>
      </c>
      <c r="F23" s="5">
        <v>2.2200000000000002</v>
      </c>
      <c r="G23" s="5">
        <f>1+(0.11/0.6)</f>
        <v>1.1833333333333333</v>
      </c>
      <c r="H23" s="5">
        <f>1+(0.34/0.6)</f>
        <v>1.5666666666666669</v>
      </c>
      <c r="I23" s="5">
        <f t="shared" si="11"/>
        <v>0.53333333333333333</v>
      </c>
    </row>
    <row r="24" spans="2:10">
      <c r="C24" s="5">
        <f>1+(0.15/0.6)</f>
        <v>1.25</v>
      </c>
      <c r="D24" s="5">
        <v>4.05</v>
      </c>
      <c r="E24" s="5">
        <v>3.08</v>
      </c>
      <c r="F24" s="5">
        <v>3.18</v>
      </c>
      <c r="G24" s="5">
        <f>1+(0.07/0.6)</f>
        <v>1.1166666666666667</v>
      </c>
      <c r="H24" s="5">
        <f>3+(0.03/0.6)</f>
        <v>3.05</v>
      </c>
      <c r="I24" s="5">
        <f t="shared" si="11"/>
        <v>0.53333333333333333</v>
      </c>
    </row>
    <row r="25" spans="2:10">
      <c r="C25" s="5">
        <f>1+(0.35/0.6)</f>
        <v>1.5833333333333335</v>
      </c>
      <c r="D25" s="5">
        <v>4.2699999999999996</v>
      </c>
      <c r="E25" s="5">
        <v>2.37</v>
      </c>
      <c r="F25" s="5">
        <v>2.44</v>
      </c>
      <c r="G25" s="5">
        <f>1+(0.06/0.6)</f>
        <v>1.1000000000000001</v>
      </c>
      <c r="H25" s="5">
        <f>3+(0.04/0.6)</f>
        <v>3.0666666666666669</v>
      </c>
      <c r="I25" s="5">
        <f t="shared" si="11"/>
        <v>0.56666666666666665</v>
      </c>
    </row>
    <row r="26" spans="2:10">
      <c r="B26" s="12" t="s">
        <v>20</v>
      </c>
      <c r="C26" s="13">
        <f>+SUM(C21:C25)</f>
        <v>6.7333333333333343</v>
      </c>
      <c r="D26" s="13">
        <f>+SUM(D21:D25)</f>
        <v>19.16</v>
      </c>
      <c r="E26" s="13">
        <f t="shared" ref="E26" si="12">+SUM(E21:E25)</f>
        <v>13.32</v>
      </c>
      <c r="F26" s="13">
        <f t="shared" ref="F26" si="13">+SUM(F21:F25)</f>
        <v>13.14</v>
      </c>
      <c r="G26" s="13">
        <f t="shared" ref="G26" si="14">+SUM(G21:G25)</f>
        <v>5.35</v>
      </c>
      <c r="H26" s="13">
        <f t="shared" ref="H26" si="15">+SUM(H21:H25)</f>
        <v>11.5</v>
      </c>
      <c r="I26" s="13">
        <f t="shared" ref="I26" si="16">+SUM(I21:I25)</f>
        <v>2.6166666666666663</v>
      </c>
    </row>
    <row r="27" spans="2:10">
      <c r="B27" s="5" t="s">
        <v>80</v>
      </c>
      <c r="C27" s="5">
        <f>+C26/5</f>
        <v>1.3466666666666669</v>
      </c>
      <c r="D27" s="5">
        <f>+D26/5</f>
        <v>3.8319999999999999</v>
      </c>
      <c r="E27" s="5">
        <f t="shared" ref="E27" si="17">+E26/5</f>
        <v>2.6640000000000001</v>
      </c>
      <c r="F27" s="5">
        <f t="shared" ref="F27" si="18">+F26/5</f>
        <v>2.6280000000000001</v>
      </c>
      <c r="G27" s="5">
        <f t="shared" ref="G27" si="19">+G26/5</f>
        <v>1.0699999999999998</v>
      </c>
      <c r="H27" s="5">
        <f t="shared" ref="H27" si="20">+H26/5</f>
        <v>2.2999999999999998</v>
      </c>
      <c r="I27" s="5">
        <f t="shared" ref="I27" si="21">+I26/5</f>
        <v>0.52333333333333321</v>
      </c>
    </row>
    <row r="28" spans="2:10">
      <c r="B28" s="12" t="s">
        <v>82</v>
      </c>
      <c r="C28" s="13">
        <f>1+(0.3466*0.6)</f>
        <v>1.2079599999999999</v>
      </c>
      <c r="D28" s="13">
        <f>3+(0.832*0.6)</f>
        <v>3.4992000000000001</v>
      </c>
      <c r="E28" s="13">
        <f t="shared" ref="E28:F28" si="22">3+(0.832*0.6)</f>
        <v>3.4992000000000001</v>
      </c>
      <c r="F28" s="13">
        <f t="shared" si="22"/>
        <v>3.4992000000000001</v>
      </c>
      <c r="G28" s="13">
        <f>1+(0.07*0.6)</f>
        <v>1.042</v>
      </c>
      <c r="H28" s="13">
        <f>2+(0.3*0.6)</f>
        <v>2.1800000000000002</v>
      </c>
      <c r="I28" s="13">
        <f>+I27*0.6</f>
        <v>0.31399999999999989</v>
      </c>
    </row>
    <row r="29" spans="2:10">
      <c r="B29" s="5" t="s">
        <v>85</v>
      </c>
      <c r="C29" s="5">
        <f>+C27*(C27*0.15)</f>
        <v>0.27202666666666675</v>
      </c>
      <c r="D29" s="5">
        <f t="shared" ref="D29:I29" si="23">+D27*(D27*0.15)</f>
        <v>2.2026336</v>
      </c>
      <c r="E29" s="5">
        <f t="shared" si="23"/>
        <v>1.0645344000000001</v>
      </c>
      <c r="F29" s="5">
        <f t="shared" si="23"/>
        <v>1.0359575999999999</v>
      </c>
      <c r="G29" s="5">
        <f t="shared" si="23"/>
        <v>0.17173499999999994</v>
      </c>
      <c r="H29" s="5">
        <f t="shared" si="23"/>
        <v>0.79349999999999987</v>
      </c>
      <c r="I29" s="5">
        <f t="shared" si="23"/>
        <v>4.1081666666666641E-2</v>
      </c>
    </row>
    <row r="30" spans="2:10">
      <c r="B30" s="12" t="s">
        <v>86</v>
      </c>
      <c r="C30" s="13">
        <f>540/(C27+C29)</f>
        <v>333.60241182188093</v>
      </c>
      <c r="D30" s="13">
        <f t="shared" ref="D30" si="24">540/(D27+D29)</f>
        <v>89.483477505577156</v>
      </c>
      <c r="E30" s="13">
        <f t="shared" ref="E30" si="25">540/(E27+E29)</f>
        <v>144.82902450893306</v>
      </c>
      <c r="F30" s="13">
        <f t="shared" ref="F30" si="26">540/(F27+F29)</f>
        <v>147.38161817156401</v>
      </c>
      <c r="G30" s="13">
        <f t="shared" ref="G30" si="27">540/(G27+G29)</f>
        <v>434.87539611913979</v>
      </c>
      <c r="H30" s="13">
        <f t="shared" ref="H30" si="28">540/(H27+H29)</f>
        <v>174.55956036851464</v>
      </c>
      <c r="I30" s="13">
        <f t="shared" ref="I30" si="29">540/(I27+I29)</f>
        <v>956.74282221415115</v>
      </c>
    </row>
    <row r="31" spans="2:10">
      <c r="B31" s="5" t="s">
        <v>122</v>
      </c>
      <c r="C31" s="35">
        <f>+C30/500</f>
        <v>0.66720482364376188</v>
      </c>
      <c r="D31" s="35">
        <f t="shared" ref="D31:I31" si="30">+D30/500</f>
        <v>0.17896695501115431</v>
      </c>
      <c r="E31" s="35">
        <f t="shared" si="30"/>
        <v>0.28965804901786613</v>
      </c>
      <c r="F31" s="35">
        <f t="shared" si="30"/>
        <v>0.29476323634312801</v>
      </c>
      <c r="G31" s="35">
        <f t="shared" si="30"/>
        <v>0.86975079223827956</v>
      </c>
      <c r="H31" s="35">
        <f t="shared" si="30"/>
        <v>0.34911912073702928</v>
      </c>
      <c r="I31" s="35">
        <f t="shared" si="30"/>
        <v>1.9134856444283024</v>
      </c>
    </row>
    <row r="32" spans="2:10">
      <c r="B32" s="40" t="s">
        <v>67</v>
      </c>
      <c r="C32" t="str">
        <f>+IF(C27&lt;$C$36,$B$41, $B$42)</f>
        <v>MAL TIEMPO</v>
      </c>
      <c r="D32" t="str">
        <f t="shared" ref="D32:I32" si="31">+IF(D27&lt;$C$36,$B$41, $B$42)</f>
        <v>MAL TIEMPO</v>
      </c>
      <c r="E32" t="str">
        <f t="shared" si="31"/>
        <v>MAL TIEMPO</v>
      </c>
      <c r="F32" t="str">
        <f t="shared" si="31"/>
        <v>MAL TIEMPO</v>
      </c>
      <c r="G32" t="str">
        <f t="shared" si="31"/>
        <v>BUEN TIEMPO</v>
      </c>
      <c r="H32" t="str">
        <f t="shared" si="31"/>
        <v>MAL TIEMPO</v>
      </c>
      <c r="I32" t="str">
        <f t="shared" si="31"/>
        <v>BUEN TIEMPO</v>
      </c>
    </row>
    <row r="36" spans="2:8">
      <c r="B36" s="5" t="s">
        <v>67</v>
      </c>
      <c r="C36" s="5">
        <f>+C37/C38</f>
        <v>1.08</v>
      </c>
      <c r="D36" t="s">
        <v>68</v>
      </c>
      <c r="E36" s="5">
        <f>+E37/E38</f>
        <v>1.08</v>
      </c>
      <c r="F36" t="s">
        <v>69</v>
      </c>
      <c r="G36" s="5">
        <f>+G37/G38</f>
        <v>1.08</v>
      </c>
      <c r="H36" t="s">
        <v>69</v>
      </c>
    </row>
    <row r="37" spans="2:8">
      <c r="B37" s="5" t="s">
        <v>70</v>
      </c>
      <c r="C37" s="5">
        <v>10800</v>
      </c>
      <c r="D37" t="s">
        <v>71</v>
      </c>
      <c r="E37" s="5">
        <v>2700</v>
      </c>
      <c r="F37" t="s">
        <v>72</v>
      </c>
      <c r="G37" s="5">
        <v>540</v>
      </c>
      <c r="H37" t="s">
        <v>73</v>
      </c>
    </row>
    <row r="38" spans="2:8">
      <c r="B38" s="5" t="s">
        <v>74</v>
      </c>
      <c r="C38" s="5">
        <v>10000</v>
      </c>
      <c r="D38" t="s">
        <v>75</v>
      </c>
      <c r="E38" s="5">
        <f>+C38/4</f>
        <v>2500</v>
      </c>
      <c r="F38" t="s">
        <v>76</v>
      </c>
      <c r="G38" s="5">
        <f>+E38/5</f>
        <v>500</v>
      </c>
      <c r="H38" t="s">
        <v>77</v>
      </c>
    </row>
    <row r="39" spans="2:8">
      <c r="C39" t="s">
        <v>8</v>
      </c>
    </row>
    <row r="41" spans="2:8">
      <c r="B41" s="42" t="s">
        <v>130</v>
      </c>
      <c r="C41" t="s">
        <v>131</v>
      </c>
    </row>
    <row r="42" spans="2:8">
      <c r="B42" s="41" t="s">
        <v>132</v>
      </c>
      <c r="C42" t="s">
        <v>133</v>
      </c>
    </row>
    <row r="43" spans="2:8">
      <c r="B43" s="5" t="s">
        <v>134</v>
      </c>
      <c r="C43" t="s">
        <v>135</v>
      </c>
    </row>
  </sheetData>
  <conditionalFormatting sqref="C32:J32">
    <cfRule type="containsText" dxfId="1" priority="1" operator="containsText" text="MAL TIEMPO">
      <formula>NOT(ISERROR(SEARCH("MAL TIEMPO",C32)))</formula>
    </cfRule>
    <cfRule type="containsText" dxfId="0" priority="2" operator="containsText" text="BUEN TIEMPO">
      <formula>NOT(ISERROR(SEARCH("BUEN TIEMPO",C32)))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AD39F-2C59-4C83-BE23-0664A9DD7A45}">
  <dimension ref="A7:AE38"/>
  <sheetViews>
    <sheetView showGridLines="0" zoomScale="55" zoomScaleNormal="55" workbookViewId="0">
      <selection activeCell="A5" sqref="A5"/>
    </sheetView>
  </sheetViews>
  <sheetFormatPr defaultColWidth="11.42578125" defaultRowHeight="15"/>
  <cols>
    <col min="1" max="1" width="26.85546875" customWidth="1"/>
    <col min="2" max="2" width="21.5703125" customWidth="1"/>
    <col min="3" max="3" width="15.85546875" customWidth="1"/>
    <col min="4" max="4" width="27.140625" customWidth="1"/>
    <col min="6" max="6" width="22.7109375" customWidth="1"/>
    <col min="7" max="7" width="13" customWidth="1"/>
    <col min="8" max="8" width="22.85546875" customWidth="1"/>
    <col min="10" max="10" width="23.7109375" customWidth="1"/>
    <col min="12" max="12" width="21.28515625" customWidth="1"/>
    <col min="14" max="14" width="14.42578125" customWidth="1"/>
    <col min="16" max="16" width="14.28515625" customWidth="1"/>
    <col min="20" max="20" width="17.28515625" customWidth="1"/>
    <col min="22" max="22" width="18" customWidth="1"/>
    <col min="25" max="25" width="14.28515625" customWidth="1"/>
    <col min="30" max="30" width="18.28515625" customWidth="1"/>
  </cols>
  <sheetData>
    <row r="7" spans="1:31">
      <c r="C7" t="s">
        <v>198</v>
      </c>
    </row>
    <row r="8" spans="1:31">
      <c r="R8" t="s">
        <v>51</v>
      </c>
      <c r="X8" t="s">
        <v>199</v>
      </c>
    </row>
    <row r="11" spans="1:31">
      <c r="A11" t="s">
        <v>64</v>
      </c>
      <c r="D11" s="16" t="s">
        <v>200</v>
      </c>
    </row>
    <row r="13" spans="1:31">
      <c r="X13" s="20" t="s">
        <v>201</v>
      </c>
      <c r="AE13" s="20" t="s">
        <v>201</v>
      </c>
    </row>
    <row r="14" spans="1:31">
      <c r="A14" t="s">
        <v>202</v>
      </c>
      <c r="B14" s="17" t="s">
        <v>126</v>
      </c>
      <c r="F14" s="17" t="s">
        <v>203</v>
      </c>
      <c r="H14" s="17" t="s">
        <v>128</v>
      </c>
    </row>
    <row r="16" spans="1:31">
      <c r="L16" s="16" t="s">
        <v>40</v>
      </c>
    </row>
    <row r="17" spans="1:30">
      <c r="A17" t="s">
        <v>204</v>
      </c>
      <c r="B17" s="16" t="s">
        <v>33</v>
      </c>
      <c r="D17" s="16" t="s">
        <v>205</v>
      </c>
      <c r="J17" s="16" t="s">
        <v>206</v>
      </c>
      <c r="N17" s="16" t="s">
        <v>207</v>
      </c>
      <c r="P17" s="16" t="s">
        <v>208</v>
      </c>
      <c r="R17" s="19" t="s">
        <v>53</v>
      </c>
      <c r="T17" s="19" t="s">
        <v>54</v>
      </c>
    </row>
    <row r="18" spans="1:30">
      <c r="L18" s="16" t="s">
        <v>40</v>
      </c>
    </row>
    <row r="21" spans="1:30">
      <c r="X21" s="20" t="s">
        <v>209</v>
      </c>
      <c r="Z21" s="20" t="s">
        <v>62</v>
      </c>
      <c r="AB21" s="20" t="s">
        <v>63</v>
      </c>
      <c r="AD21" s="20" t="s">
        <v>210</v>
      </c>
    </row>
    <row r="22" spans="1:30">
      <c r="A22" t="s">
        <v>211</v>
      </c>
      <c r="B22" s="15" t="s">
        <v>212</v>
      </c>
      <c r="D22" s="15" t="s">
        <v>213</v>
      </c>
      <c r="F22" s="15" t="s">
        <v>148</v>
      </c>
      <c r="H22" s="28" t="s">
        <v>149</v>
      </c>
      <c r="J22" s="28" t="s">
        <v>87</v>
      </c>
      <c r="L22" s="15" t="s">
        <v>214</v>
      </c>
      <c r="R22" t="s">
        <v>215</v>
      </c>
      <c r="T22" s="19" t="s">
        <v>55</v>
      </c>
      <c r="V22" s="19" t="s">
        <v>56</v>
      </c>
    </row>
    <row r="25" spans="1:30">
      <c r="B25">
        <v>1</v>
      </c>
      <c r="D25">
        <v>1</v>
      </c>
      <c r="F25">
        <v>1</v>
      </c>
      <c r="H25">
        <v>1</v>
      </c>
      <c r="J25">
        <v>1</v>
      </c>
      <c r="N25">
        <v>1</v>
      </c>
    </row>
    <row r="26" spans="1:30">
      <c r="A26" t="s">
        <v>216</v>
      </c>
      <c r="B26" s="18" t="s">
        <v>217</v>
      </c>
      <c r="D26" s="18" t="s">
        <v>218</v>
      </c>
      <c r="F26" s="18" t="s">
        <v>219</v>
      </c>
      <c r="H26" s="18" t="s">
        <v>220</v>
      </c>
      <c r="J26" s="18" t="s">
        <v>221</v>
      </c>
      <c r="N26" s="18" t="s">
        <v>222</v>
      </c>
    </row>
    <row r="27" spans="1:30" ht="30">
      <c r="L27" s="36" t="s">
        <v>223</v>
      </c>
      <c r="N27">
        <v>1</v>
      </c>
      <c r="R27" s="19" t="s">
        <v>52</v>
      </c>
      <c r="T27" s="19" t="s">
        <v>58</v>
      </c>
    </row>
    <row r="28" spans="1:30">
      <c r="A28" t="s">
        <v>224</v>
      </c>
      <c r="B28" s="18" t="s">
        <v>225</v>
      </c>
      <c r="C28" s="37"/>
      <c r="D28" s="36" t="s">
        <v>226</v>
      </c>
      <c r="N28" s="18" t="s">
        <v>227</v>
      </c>
    </row>
    <row r="30" spans="1:30">
      <c r="A30" t="s">
        <v>228</v>
      </c>
      <c r="B30" s="3" t="s">
        <v>47</v>
      </c>
      <c r="D30" s="3" t="s">
        <v>229</v>
      </c>
      <c r="F30" s="3" t="s">
        <v>230</v>
      </c>
      <c r="H30" s="3" t="s">
        <v>50</v>
      </c>
    </row>
    <row r="32" spans="1:30">
      <c r="F32" t="s">
        <v>231</v>
      </c>
    </row>
    <row r="34" spans="2:4">
      <c r="B34" s="18" t="s">
        <v>232</v>
      </c>
      <c r="D34" t="s">
        <v>121</v>
      </c>
    </row>
    <row r="35" spans="2:4">
      <c r="B35" s="18" t="s">
        <v>16</v>
      </c>
    </row>
    <row r="36" spans="2:4">
      <c r="B36" t="s">
        <v>233</v>
      </c>
    </row>
    <row r="37" spans="2:4">
      <c r="B37" t="s">
        <v>234</v>
      </c>
    </row>
    <row r="38" spans="2:4">
      <c r="B38" t="s">
        <v>223</v>
      </c>
    </row>
  </sheetData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ALEJANDRO PONCE SAUCEDA</dc:creator>
  <cp:keywords/>
  <dc:description/>
  <cp:lastModifiedBy/>
  <cp:revision/>
  <dcterms:created xsi:type="dcterms:W3CDTF">2024-11-07T13:48:02Z</dcterms:created>
  <dcterms:modified xsi:type="dcterms:W3CDTF">2025-02-11T17:10:35Z</dcterms:modified>
  <cp:category/>
  <cp:contentStatus/>
</cp:coreProperties>
</file>